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Board Members\2017 Meeting Material\08.01.17 Board Meeting Material\Tim\"/>
    </mc:Choice>
  </mc:AlternateContent>
  <bookViews>
    <workbookView xWindow="1275" yWindow="1485" windowWidth="13560" windowHeight="5940" tabRatio="709" activeTab="6"/>
  </bookViews>
  <sheets>
    <sheet name="Overview" sheetId="40" r:id="rId1"/>
    <sheet name="P&amp;L" sheetId="67" r:id="rId2"/>
    <sheet name="BS" sheetId="71" r:id="rId3"/>
    <sheet name="Cash Flow" sheetId="45" r:id="rId4"/>
    <sheet name="Divisions" sheetId="61" r:id="rId5"/>
    <sheet name="Days Cash" sheetId="52" r:id="rId6"/>
    <sheet name="Days in AR" sheetId="46" r:id="rId7"/>
    <sheet name="Data" sheetId="51" state="hidden" r:id="rId8"/>
    <sheet name="ytd rolling margins" sheetId="69" state="hidden" r:id="rId9"/>
  </sheets>
  <definedNames>
    <definedName name="_xlnm.Print_Area" localSheetId="2">BS!$A$1:$O$71</definedName>
    <definedName name="_xlnm.Print_Area" localSheetId="3">'Cash Flow'!$A$1:$C$57</definedName>
    <definedName name="_xlnm.Print_Area" localSheetId="7">Data!$A$21:$W$33</definedName>
    <definedName name="_xlnm.Print_Area" localSheetId="5">'Days Cash'!$A$1:$N$56</definedName>
    <definedName name="_xlnm.Print_Area" localSheetId="6">'Days in AR'!$A$1:$G$42</definedName>
    <definedName name="_xlnm.Print_Area" localSheetId="4">Divisions!$A$1:$L$43</definedName>
    <definedName name="_xlnm.Print_Area" localSheetId="0">Overview!$A$1:$F$49</definedName>
    <definedName name="_xlnm.Print_Area" localSheetId="1">'P&amp;L'!$A$1:$L$56</definedName>
  </definedNames>
  <calcPr calcId="152511"/>
</workbook>
</file>

<file path=xl/calcChain.xml><?xml version="1.0" encoding="utf-8"?>
<calcChain xmlns="http://schemas.openxmlformats.org/spreadsheetml/2006/main">
  <c r="AJ38" i="69" l="1"/>
  <c r="AJ46" i="69"/>
  <c r="AJ44" i="69"/>
  <c r="AJ42" i="69"/>
  <c r="AJ41" i="69"/>
  <c r="AJ40" i="69"/>
  <c r="AJ37" i="69"/>
  <c r="AJ35" i="69"/>
  <c r="AJ34" i="69"/>
  <c r="AJ33" i="69"/>
  <c r="AJ32" i="69"/>
  <c r="AJ31" i="69"/>
  <c r="AJ30" i="69"/>
  <c r="AJ29" i="69"/>
  <c r="AJ28" i="69"/>
  <c r="AJ27" i="69"/>
  <c r="AJ26" i="69"/>
  <c r="AJ25" i="69"/>
  <c r="AJ24" i="69"/>
  <c r="AJ23" i="69"/>
  <c r="AJ22" i="69"/>
  <c r="AJ19" i="69"/>
  <c r="AJ17" i="69"/>
  <c r="AJ15" i="69"/>
  <c r="AJ14" i="69"/>
  <c r="AJ13" i="69"/>
  <c r="AJ12" i="69"/>
  <c r="AJ11" i="69"/>
  <c r="AJ9" i="69"/>
  <c r="AJ8" i="69"/>
  <c r="AJ7" i="69"/>
  <c r="AJ6" i="69"/>
  <c r="AJ5" i="69"/>
  <c r="AJ4" i="69"/>
  <c r="BO43" i="51"/>
  <c r="C47" i="45" l="1"/>
  <c r="C31" i="45"/>
  <c r="C11" i="45"/>
  <c r="J8" i="61" l="1"/>
  <c r="H8" i="61"/>
  <c r="E8" i="61"/>
  <c r="C8" i="61"/>
  <c r="F24" i="61" l="1"/>
  <c r="F23" i="61"/>
  <c r="K40" i="61"/>
  <c r="K36" i="61"/>
  <c r="J40" i="61"/>
  <c r="H40" i="61"/>
  <c r="I35" i="61"/>
  <c r="H35" i="61"/>
  <c r="D35" i="61"/>
  <c r="C35" i="61"/>
  <c r="I19" i="61"/>
  <c r="H19" i="61"/>
  <c r="C19" i="61"/>
  <c r="H18" i="61"/>
  <c r="D18" i="61"/>
  <c r="C18" i="61"/>
  <c r="I27" i="61"/>
  <c r="I26" i="61"/>
  <c r="I23" i="61"/>
  <c r="I22" i="61"/>
  <c r="I18" i="61"/>
  <c r="H27" i="61"/>
  <c r="H26" i="61"/>
  <c r="H23" i="61"/>
  <c r="H22" i="61"/>
  <c r="D27" i="61"/>
  <c r="D26" i="61"/>
  <c r="D23" i="61"/>
  <c r="D22" i="61"/>
  <c r="D19" i="61"/>
  <c r="C27" i="61"/>
  <c r="C26" i="61"/>
  <c r="C23" i="61"/>
  <c r="C22" i="61"/>
  <c r="F18" i="40" l="1"/>
  <c r="E18" i="40"/>
  <c r="D18" i="40"/>
  <c r="BP25" i="51"/>
  <c r="BP23" i="51"/>
  <c r="BP20" i="51"/>
  <c r="BP16" i="51"/>
  <c r="BP3" i="51"/>
  <c r="BP7" i="51"/>
  <c r="BP14" i="51"/>
  <c r="BP21" i="51"/>
  <c r="BP24" i="51"/>
  <c r="BP41" i="51"/>
  <c r="BP43" i="51"/>
  <c r="C18" i="40"/>
  <c r="M32" i="46"/>
  <c r="AH35" i="69"/>
  <c r="AH13" i="69"/>
  <c r="AH9" i="69"/>
  <c r="AH14" i="69" s="1"/>
  <c r="B18" i="40"/>
  <c r="BP26" i="51" l="1"/>
  <c r="AH15" i="69"/>
  <c r="AH19" i="69" s="1"/>
  <c r="AH37" i="69" s="1"/>
  <c r="AH44" i="69" s="1"/>
  <c r="AH48" i="69" s="1"/>
  <c r="AH49" i="69" s="1"/>
  <c r="AH38" i="69" l="1"/>
  <c r="B69" i="71" l="1"/>
  <c r="B65" i="71"/>
  <c r="B17" i="71"/>
  <c r="B13" i="71"/>
  <c r="C65" i="71"/>
  <c r="C55" i="71"/>
  <c r="C47" i="71"/>
  <c r="C57" i="71" s="1"/>
  <c r="C36" i="71"/>
  <c r="C31" i="71"/>
  <c r="C23" i="71"/>
  <c r="C26" i="71" s="1"/>
  <c r="C13" i="71"/>
  <c r="C17" i="71" s="1"/>
  <c r="C38" i="71" s="1"/>
  <c r="L52" i="67"/>
  <c r="L48" i="67"/>
  <c r="K48" i="67"/>
  <c r="K41" i="67"/>
  <c r="K39" i="67"/>
  <c r="K23" i="67"/>
  <c r="K19" i="67"/>
  <c r="K13" i="67"/>
  <c r="C69" i="71" l="1"/>
  <c r="I52" i="67"/>
  <c r="I48" i="67"/>
  <c r="G52" i="67"/>
  <c r="G48" i="67"/>
  <c r="G19" i="67"/>
  <c r="G17" i="67"/>
  <c r="G13" i="67"/>
  <c r="C39" i="67"/>
  <c r="C23" i="67"/>
  <c r="J32" i="46" l="1"/>
  <c r="J33" i="46" s="1"/>
  <c r="L50" i="67" l="1"/>
  <c r="L46" i="67"/>
  <c r="L45" i="67"/>
  <c r="L44" i="67"/>
  <c r="L38" i="67"/>
  <c r="L37" i="67"/>
  <c r="L36" i="67"/>
  <c r="L35" i="67"/>
  <c r="L34" i="67"/>
  <c r="L33" i="67"/>
  <c r="L32" i="67"/>
  <c r="L31" i="67"/>
  <c r="L30" i="67"/>
  <c r="L29" i="67"/>
  <c r="L28" i="67"/>
  <c r="L27" i="67"/>
  <c r="L26" i="67"/>
  <c r="L16" i="67"/>
  <c r="L15" i="67"/>
  <c r="L11" i="67"/>
  <c r="L8" i="67"/>
  <c r="L21" i="67"/>
  <c r="L12" i="67"/>
  <c r="L10" i="67"/>
  <c r="L9" i="67"/>
  <c r="I46" i="67"/>
  <c r="I45" i="67"/>
  <c r="I44" i="67"/>
  <c r="I38" i="67"/>
  <c r="I37" i="67"/>
  <c r="I36" i="67"/>
  <c r="I35" i="67"/>
  <c r="I34" i="67"/>
  <c r="I33" i="67"/>
  <c r="I32" i="67"/>
  <c r="I31" i="67"/>
  <c r="I30" i="67"/>
  <c r="I29" i="67"/>
  <c r="I28" i="67"/>
  <c r="I27" i="67"/>
  <c r="I26" i="67"/>
  <c r="I21" i="67"/>
  <c r="I16" i="67"/>
  <c r="I15" i="67"/>
  <c r="I12" i="67"/>
  <c r="I11" i="67"/>
  <c r="I10" i="67"/>
  <c r="I9" i="67"/>
  <c r="I8" i="67"/>
  <c r="E46" i="67"/>
  <c r="E45" i="67"/>
  <c r="E38" i="67"/>
  <c r="E37" i="67"/>
  <c r="E36" i="67"/>
  <c r="E35" i="67"/>
  <c r="E34" i="67"/>
  <c r="E33" i="67"/>
  <c r="E32" i="67"/>
  <c r="E31" i="67"/>
  <c r="E30" i="67"/>
  <c r="E29" i="67"/>
  <c r="E28" i="67"/>
  <c r="E27" i="67"/>
  <c r="E26" i="67"/>
  <c r="E16" i="67"/>
  <c r="E15" i="67"/>
  <c r="H39" i="67" l="1"/>
  <c r="H17" i="67"/>
  <c r="H13" i="67"/>
  <c r="E44" i="67"/>
  <c r="E21" i="67"/>
  <c r="E12" i="67"/>
  <c r="E11" i="67"/>
  <c r="E10" i="67"/>
  <c r="E9" i="67"/>
  <c r="E8" i="67"/>
  <c r="K17" i="67"/>
  <c r="K42" i="67" l="1"/>
  <c r="H19" i="67"/>
  <c r="H23" i="67" s="1"/>
  <c r="H41" i="67" s="1"/>
  <c r="H48" i="67" s="1"/>
  <c r="H52" i="67" s="1"/>
  <c r="H18" i="67"/>
  <c r="K18" i="67"/>
  <c r="K52" i="67"/>
  <c r="K53" i="67" s="1"/>
  <c r="H53" i="67" l="1"/>
  <c r="F19" i="40"/>
  <c r="H42" i="67"/>
  <c r="F20" i="40" s="1"/>
  <c r="E32" i="46" l="1"/>
  <c r="E33" i="46" s="1"/>
  <c r="BO24" i="51" l="1"/>
  <c r="BO20" i="51"/>
  <c r="BO16" i="51"/>
  <c r="BO3" i="51"/>
  <c r="BO7" i="51"/>
  <c r="BO14" i="51"/>
  <c r="BO21" i="51"/>
  <c r="BO41" i="51"/>
  <c r="AG13" i="69" l="1"/>
  <c r="AG35" i="69"/>
  <c r="AG9" i="69"/>
  <c r="C41" i="45"/>
  <c r="D57" i="71"/>
  <c r="B47" i="71"/>
  <c r="B57" i="71" s="1"/>
  <c r="B36" i="71"/>
  <c r="B31" i="71"/>
  <c r="B23" i="71"/>
  <c r="B26" i="71" s="1"/>
  <c r="S65" i="71"/>
  <c r="R65" i="71"/>
  <c r="Q65" i="71"/>
  <c r="P65" i="71"/>
  <c r="O65" i="71"/>
  <c r="N65" i="71"/>
  <c r="M65" i="71"/>
  <c r="L65" i="71"/>
  <c r="K65" i="71"/>
  <c r="J65" i="71"/>
  <c r="I65" i="71"/>
  <c r="S55" i="71"/>
  <c r="R55" i="71"/>
  <c r="Q55" i="71"/>
  <c r="P55" i="71"/>
  <c r="O55" i="71"/>
  <c r="N55" i="71"/>
  <c r="M55" i="71"/>
  <c r="L55" i="71"/>
  <c r="K55" i="71"/>
  <c r="J55" i="71"/>
  <c r="I55" i="71"/>
  <c r="S47" i="71"/>
  <c r="S57" i="71" s="1"/>
  <c r="R47" i="71"/>
  <c r="Q47" i="71"/>
  <c r="P47" i="71"/>
  <c r="O47" i="71"/>
  <c r="O57" i="71" s="1"/>
  <c r="N47" i="71"/>
  <c r="M47" i="71"/>
  <c r="L47" i="71"/>
  <c r="K47" i="71"/>
  <c r="K57" i="71" s="1"/>
  <c r="J47" i="71"/>
  <c r="I47" i="71"/>
  <c r="S36" i="71"/>
  <c r="R36" i="71"/>
  <c r="Q36" i="71"/>
  <c r="P36" i="71"/>
  <c r="O36" i="71"/>
  <c r="N36" i="71"/>
  <c r="M36" i="71"/>
  <c r="L36" i="71"/>
  <c r="K36" i="71"/>
  <c r="J36" i="71"/>
  <c r="I36" i="71"/>
  <c r="S31" i="71"/>
  <c r="R31" i="71"/>
  <c r="Q31" i="71"/>
  <c r="P31" i="71"/>
  <c r="O31" i="71"/>
  <c r="N31" i="71"/>
  <c r="M31" i="71"/>
  <c r="L31" i="71"/>
  <c r="K31" i="71"/>
  <c r="J31" i="71"/>
  <c r="I31" i="71"/>
  <c r="S23" i="71"/>
  <c r="S26" i="71" s="1"/>
  <c r="R23" i="71"/>
  <c r="R26" i="71" s="1"/>
  <c r="Q23" i="71"/>
  <c r="Q26" i="71" s="1"/>
  <c r="P23" i="71"/>
  <c r="P26" i="71" s="1"/>
  <c r="O23" i="71"/>
  <c r="O26" i="71" s="1"/>
  <c r="N23" i="71"/>
  <c r="N26" i="71" s="1"/>
  <c r="M23" i="71"/>
  <c r="M26" i="71" s="1"/>
  <c r="L23" i="71"/>
  <c r="L26" i="71" s="1"/>
  <c r="K23" i="71"/>
  <c r="K26" i="71" s="1"/>
  <c r="J23" i="71"/>
  <c r="J26" i="71" s="1"/>
  <c r="I23" i="71"/>
  <c r="I26" i="71" s="1"/>
  <c r="R17" i="71"/>
  <c r="R38" i="71" s="1"/>
  <c r="S14" i="71"/>
  <c r="O14" i="71"/>
  <c r="S13" i="71"/>
  <c r="R13" i="71"/>
  <c r="Q13" i="71"/>
  <c r="Q17" i="71" s="1"/>
  <c r="P13" i="71"/>
  <c r="P17" i="71" s="1"/>
  <c r="O13" i="71"/>
  <c r="N13" i="71"/>
  <c r="N17" i="71" s="1"/>
  <c r="N38" i="71" s="1"/>
  <c r="M13" i="71"/>
  <c r="M17" i="71" s="1"/>
  <c r="L13" i="71"/>
  <c r="L17" i="71" s="1"/>
  <c r="K13" i="71"/>
  <c r="K17" i="71" s="1"/>
  <c r="J13" i="71"/>
  <c r="J17" i="71" s="1"/>
  <c r="J38" i="71" s="1"/>
  <c r="I13" i="71"/>
  <c r="I17" i="71" s="1"/>
  <c r="B38" i="71" l="1"/>
  <c r="AG14" i="69"/>
  <c r="AG15" i="69"/>
  <c r="AG19" i="69" s="1"/>
  <c r="AG37" i="69" s="1"/>
  <c r="I38" i="71"/>
  <c r="P57" i="71"/>
  <c r="K38" i="71"/>
  <c r="O17" i="71"/>
  <c r="O38" i="71" s="1"/>
  <c r="S17" i="71"/>
  <c r="S38" i="71" s="1"/>
  <c r="J57" i="71"/>
  <c r="J69" i="71" s="1"/>
  <c r="N57" i="71"/>
  <c r="N69" i="71" s="1"/>
  <c r="R57" i="71"/>
  <c r="M38" i="71"/>
  <c r="Q38" i="71"/>
  <c r="L57" i="71"/>
  <c r="I57" i="71"/>
  <c r="M57" i="71"/>
  <c r="Q57" i="71"/>
  <c r="P69" i="71"/>
  <c r="R69" i="71"/>
  <c r="L69" i="71"/>
  <c r="I69" i="71"/>
  <c r="M69" i="71"/>
  <c r="Q69" i="71"/>
  <c r="L38" i="71"/>
  <c r="P38" i="71"/>
  <c r="K69" i="71"/>
  <c r="O69" i="71"/>
  <c r="S69" i="71"/>
  <c r="AG38" i="69" l="1"/>
  <c r="AG44" i="69"/>
  <c r="AG48" i="69" s="1"/>
  <c r="AG49" i="69" s="1"/>
  <c r="D65" i="71"/>
  <c r="D69" i="71" s="1"/>
  <c r="D55" i="71"/>
  <c r="D47" i="71"/>
  <c r="D36" i="71"/>
  <c r="D31" i="71"/>
  <c r="D23" i="71"/>
  <c r="D26" i="71" s="1"/>
  <c r="D13" i="71"/>
  <c r="D17" i="71" s="1"/>
  <c r="G39" i="67"/>
  <c r="C17" i="67"/>
  <c r="C13" i="67"/>
  <c r="I39" i="67" l="1"/>
  <c r="L39" i="67"/>
  <c r="I17" i="67"/>
  <c r="L17" i="67"/>
  <c r="I13" i="67"/>
  <c r="L13" i="67"/>
  <c r="C18" i="67"/>
  <c r="C19" i="67"/>
  <c r="D38" i="71"/>
  <c r="I19" i="67" l="1"/>
  <c r="L19" i="67"/>
  <c r="AF35" i="69"/>
  <c r="AI19" i="69"/>
  <c r="AF13" i="69"/>
  <c r="AF9" i="69"/>
  <c r="BN24" i="51"/>
  <c r="BN20" i="51"/>
  <c r="BN16" i="51"/>
  <c r="BN3" i="51"/>
  <c r="BN7" i="51"/>
  <c r="BN14" i="51"/>
  <c r="BN21" i="51"/>
  <c r="BN41" i="51"/>
  <c r="BN43" i="51" s="1"/>
  <c r="AF15" i="69" l="1"/>
  <c r="AF19" i="69" s="1"/>
  <c r="AF14" i="69"/>
  <c r="AF37" i="69"/>
  <c r="AF38" i="69" s="1"/>
  <c r="L32" i="46"/>
  <c r="K32" i="46"/>
  <c r="I32" i="46"/>
  <c r="H32" i="46"/>
  <c r="G32" i="46"/>
  <c r="F32" i="46"/>
  <c r="D32" i="46"/>
  <c r="AF44" i="69" l="1"/>
  <c r="AF48" i="69" s="1"/>
  <c r="AF49" i="69" s="1"/>
  <c r="E65" i="71"/>
  <c r="E55" i="71"/>
  <c r="E47" i="71"/>
  <c r="E36" i="71"/>
  <c r="E31" i="71"/>
  <c r="E23" i="71"/>
  <c r="E26" i="71" s="1"/>
  <c r="E13" i="71"/>
  <c r="E17" i="71" s="1"/>
  <c r="E57" i="71" l="1"/>
  <c r="E69" i="71" s="1"/>
  <c r="E38" i="71"/>
  <c r="BM24" i="51"/>
  <c r="BM20" i="51"/>
  <c r="BM16" i="51"/>
  <c r="BM14" i="51"/>
  <c r="BM3" i="51"/>
  <c r="BM7" i="51" s="1"/>
  <c r="BM21" i="51"/>
  <c r="BM41" i="51"/>
  <c r="BM43" i="51" s="1"/>
  <c r="AE35" i="69"/>
  <c r="AE13" i="69"/>
  <c r="AE9" i="69"/>
  <c r="AE14" i="69" l="1"/>
  <c r="AE15" i="69"/>
  <c r="AE19" i="69" s="1"/>
  <c r="AE37" i="69" s="1"/>
  <c r="AE44" i="69" l="1"/>
  <c r="AE48" i="69" s="1"/>
  <c r="AE49" i="69" s="1"/>
  <c r="AE38" i="69"/>
  <c r="F65" i="71"/>
  <c r="F55" i="71"/>
  <c r="F47" i="71"/>
  <c r="F57" i="71" s="1"/>
  <c r="F36" i="71"/>
  <c r="F31" i="71"/>
  <c r="F23" i="71"/>
  <c r="F26" i="71" s="1"/>
  <c r="F13" i="71"/>
  <c r="F17" i="71" s="1"/>
  <c r="F38" i="71" l="1"/>
  <c r="F69" i="71"/>
  <c r="B17" i="40"/>
  <c r="C41" i="67" l="1"/>
  <c r="M33" i="46"/>
  <c r="BL43" i="51" l="1"/>
  <c r="AD35" i="69"/>
  <c r="AD15" i="69"/>
  <c r="AD19" i="69" s="1"/>
  <c r="AD9" i="69"/>
  <c r="AD14" i="69" s="1"/>
  <c r="AD13" i="69"/>
  <c r="BJ24" i="51"/>
  <c r="BJ21" i="51"/>
  <c r="BI20" i="51"/>
  <c r="BJ23" i="51"/>
  <c r="BJ25" i="51" s="1"/>
  <c r="BJ26" i="51" s="1"/>
  <c r="BL24" i="51"/>
  <c r="BL21" i="51"/>
  <c r="BL20" i="51"/>
  <c r="BH20" i="51"/>
  <c r="BK20" i="51"/>
  <c r="BL16" i="51"/>
  <c r="BL14" i="51"/>
  <c r="BL3" i="51"/>
  <c r="BL7" i="51" s="1"/>
  <c r="BL41" i="51"/>
  <c r="H24" i="61"/>
  <c r="BL23" i="51" l="1"/>
  <c r="BL25" i="51" s="1"/>
  <c r="BL26" i="51" s="1"/>
  <c r="BO23" i="51"/>
  <c r="BO25" i="51" s="1"/>
  <c r="BO26" i="51" s="1"/>
  <c r="BN23" i="51"/>
  <c r="BN25" i="51" s="1"/>
  <c r="BN26" i="51" s="1"/>
  <c r="BM23" i="51"/>
  <c r="BM25" i="51" s="1"/>
  <c r="BM26" i="51" s="1"/>
  <c r="AD37" i="69"/>
  <c r="AD38" i="69"/>
  <c r="AD44" i="69"/>
  <c r="AD48" i="69" s="1"/>
  <c r="AD49" i="69" s="1"/>
  <c r="G65" i="71" l="1"/>
  <c r="G55" i="71"/>
  <c r="G47" i="71"/>
  <c r="G36" i="71"/>
  <c r="G31" i="71"/>
  <c r="G23" i="71"/>
  <c r="G26" i="71" s="1"/>
  <c r="G13" i="71"/>
  <c r="G17" i="71" s="1"/>
  <c r="G38" i="71" l="1"/>
  <c r="G57" i="71"/>
  <c r="G69" i="71" s="1"/>
  <c r="BK24" i="51" l="1"/>
  <c r="BK23" i="51"/>
  <c r="BK25" i="51" s="1"/>
  <c r="BK21" i="51"/>
  <c r="BI24" i="51"/>
  <c r="BI23" i="51"/>
  <c r="BI25" i="51" s="1"/>
  <c r="BI21" i="51"/>
  <c r="BJ3" i="51" l="1"/>
  <c r="AY23" i="51"/>
  <c r="AY20" i="51"/>
  <c r="AX20" i="51"/>
  <c r="BK16" i="51"/>
  <c r="BK3" i="51"/>
  <c r="BK7" i="51" s="1"/>
  <c r="BK14" i="51"/>
  <c r="BK41" i="51"/>
  <c r="BK43" i="51"/>
  <c r="C33" i="46" l="1"/>
  <c r="B33" i="46"/>
  <c r="C49" i="45" l="1"/>
  <c r="C44" i="45"/>
  <c r="H65" i="71" l="1"/>
  <c r="H55" i="71"/>
  <c r="H47" i="71"/>
  <c r="H36" i="71"/>
  <c r="H31" i="71"/>
  <c r="H23" i="71"/>
  <c r="H26" i="71" s="1"/>
  <c r="H13" i="71"/>
  <c r="H17" i="71" s="1"/>
  <c r="AC9" i="69"/>
  <c r="AC13" i="69"/>
  <c r="AC35" i="69"/>
  <c r="H57" i="71" l="1"/>
  <c r="H69" i="71" s="1"/>
  <c r="H38" i="71"/>
  <c r="AC15" i="69"/>
  <c r="AC19" i="69" s="1"/>
  <c r="AC37" i="69" s="1"/>
  <c r="AC44" i="69" s="1"/>
  <c r="AC48" i="69" s="1"/>
  <c r="AC49" i="69" s="1"/>
  <c r="AC14" i="69"/>
  <c r="AC38" i="69" l="1"/>
  <c r="G23" i="67" l="1"/>
  <c r="I23" i="67" l="1"/>
  <c r="L23" i="67"/>
  <c r="G41" i="67"/>
  <c r="G18" i="67"/>
  <c r="I41" i="67" l="1"/>
  <c r="L41" i="67"/>
  <c r="G42" i="67"/>
  <c r="B55" i="71"/>
  <c r="K40" i="40" l="1"/>
  <c r="BJ7" i="51"/>
  <c r="BJ14" i="51"/>
  <c r="BJ16" i="51" s="1"/>
  <c r="BJ41" i="51"/>
  <c r="BJ43" i="51"/>
  <c r="G53" i="67" l="1"/>
  <c r="BK26" i="51"/>
  <c r="B73" i="71"/>
  <c r="H31" i="61"/>
  <c r="H20" i="61"/>
  <c r="H30" i="61"/>
  <c r="H32" i="61" l="1"/>
  <c r="H36" i="61" s="1"/>
  <c r="AB35" i="69"/>
  <c r="AB13" i="69"/>
  <c r="AB9" i="69"/>
  <c r="L33" i="46"/>
  <c r="AB14" i="69" l="1"/>
  <c r="AB15" i="69"/>
  <c r="AB19" i="69" s="1"/>
  <c r="AB37" i="69" s="1"/>
  <c r="AB44" i="69" s="1"/>
  <c r="AB48" i="69" s="1"/>
  <c r="AB49" i="69" s="1"/>
  <c r="AB38" i="69" l="1"/>
  <c r="C28" i="61"/>
  <c r="D28" i="61"/>
  <c r="E26" i="61"/>
  <c r="E27" i="61"/>
  <c r="E28" i="61" l="1"/>
  <c r="F28" i="61" s="1"/>
  <c r="H28" i="61"/>
  <c r="I24" i="61"/>
  <c r="J23" i="61"/>
  <c r="J22" i="61"/>
  <c r="J24" i="61" l="1"/>
  <c r="K24" i="61" s="1"/>
  <c r="K13" i="61"/>
  <c r="K11" i="61"/>
  <c r="K9" i="61"/>
  <c r="K8" i="61"/>
  <c r="F13" i="61"/>
  <c r="F11" i="61"/>
  <c r="F9" i="61"/>
  <c r="F8" i="61"/>
  <c r="L40" i="40" l="1"/>
  <c r="K38" i="61"/>
  <c r="J38" i="61"/>
  <c r="F38" i="61"/>
  <c r="E38" i="61"/>
  <c r="J34" i="61"/>
  <c r="K34" i="61" s="1"/>
  <c r="E34" i="61"/>
  <c r="F34" i="61" s="1"/>
  <c r="J35" i="61"/>
  <c r="K35" i="61" s="1"/>
  <c r="E35" i="61"/>
  <c r="F35" i="61" s="1"/>
  <c r="K22" i="61"/>
  <c r="I31" i="61"/>
  <c r="I20" i="61"/>
  <c r="J27" i="61"/>
  <c r="K27" i="61" s="1"/>
  <c r="I30" i="61"/>
  <c r="K23" i="61"/>
  <c r="J26" i="61"/>
  <c r="K26" i="61" s="1"/>
  <c r="D24" i="61"/>
  <c r="E23" i="61"/>
  <c r="D31" i="61"/>
  <c r="D30" i="61"/>
  <c r="D20" i="61"/>
  <c r="F26" i="61"/>
  <c r="E22" i="61"/>
  <c r="F22" i="61" s="1"/>
  <c r="C31" i="61"/>
  <c r="M40" i="40" l="1"/>
  <c r="I32" i="61"/>
  <c r="D32" i="61"/>
  <c r="D36" i="61" s="1"/>
  <c r="D40" i="61" s="1"/>
  <c r="J20" i="61"/>
  <c r="K20" i="61" s="1"/>
  <c r="F27" i="61"/>
  <c r="I28" i="61"/>
  <c r="J28" i="61" s="1"/>
  <c r="K28" i="61" s="1"/>
  <c r="J18" i="61"/>
  <c r="C24" i="61"/>
  <c r="E24" i="61" s="1"/>
  <c r="E19" i="61"/>
  <c r="J19" i="61"/>
  <c r="I36" i="61" l="1"/>
  <c r="I40" i="61" s="1"/>
  <c r="E31" i="61"/>
  <c r="F31" i="61" s="1"/>
  <c r="F19" i="61"/>
  <c r="C20" i="61"/>
  <c r="C30" i="61"/>
  <c r="C32" i="61" s="1"/>
  <c r="C36" i="61" s="1"/>
  <c r="E18" i="61"/>
  <c r="J31" i="61"/>
  <c r="K31" i="61" s="1"/>
  <c r="K19" i="61"/>
  <c r="J30" i="61"/>
  <c r="K18" i="61"/>
  <c r="E36" i="61" l="1"/>
  <c r="F36" i="61" s="1"/>
  <c r="J32" i="61"/>
  <c r="K32" i="61" s="1"/>
  <c r="E20" i="61"/>
  <c r="F20" i="61" s="1"/>
  <c r="J36" i="61"/>
  <c r="E30" i="61"/>
  <c r="F18" i="61"/>
  <c r="K30" i="61"/>
  <c r="C40" i="61"/>
  <c r="E40" i="61" l="1"/>
  <c r="F40" i="61" s="1"/>
  <c r="F30" i="61"/>
  <c r="E32" i="61"/>
  <c r="F32" i="61" s="1"/>
  <c r="BI43" i="51" l="1"/>
  <c r="BI41" i="51"/>
  <c r="AA35" i="69"/>
  <c r="AA13" i="69"/>
  <c r="AA9" i="69"/>
  <c r="AA15" i="69" s="1"/>
  <c r="AA19" i="69" s="1"/>
  <c r="AA37" i="69" s="1"/>
  <c r="BI14" i="51"/>
  <c r="BI3" i="51"/>
  <c r="BI7" i="51" s="1"/>
  <c r="AA14" i="69" l="1"/>
  <c r="BI16" i="51"/>
  <c r="AA38" i="69"/>
  <c r="AA44" i="69"/>
  <c r="AA48" i="69" s="1"/>
  <c r="AA49" i="69" s="1"/>
  <c r="F38" i="46"/>
  <c r="F37" i="46"/>
  <c r="F36" i="46"/>
  <c r="F35" i="46"/>
  <c r="M43" i="46"/>
  <c r="L43" i="46"/>
  <c r="K43" i="46"/>
  <c r="J43" i="46"/>
  <c r="I43" i="46"/>
  <c r="H43" i="46"/>
  <c r="G43" i="46"/>
  <c r="F43" i="46"/>
  <c r="E43" i="46"/>
  <c r="D43" i="46"/>
  <c r="C43" i="46"/>
  <c r="B43" i="46"/>
  <c r="G38" i="46"/>
  <c r="G37" i="46"/>
  <c r="G36" i="46"/>
  <c r="G35" i="46"/>
  <c r="M45" i="46"/>
  <c r="F39" i="46"/>
  <c r="K33" i="46"/>
  <c r="K45" i="46" s="1"/>
  <c r="J45" i="46"/>
  <c r="I33" i="46"/>
  <c r="I45" i="46" s="1"/>
  <c r="B39" i="46"/>
  <c r="G33" i="46"/>
  <c r="G45" i="46" s="1"/>
  <c r="F33" i="46"/>
  <c r="F45" i="46" s="1"/>
  <c r="E45" i="46"/>
  <c r="D33" i="46"/>
  <c r="D45" i="46" s="1"/>
  <c r="C45" i="46"/>
  <c r="B45" i="46"/>
  <c r="E39" i="46"/>
  <c r="E38" i="46"/>
  <c r="E37" i="46"/>
  <c r="E36" i="46"/>
  <c r="E35" i="46"/>
  <c r="D38" i="46"/>
  <c r="D37" i="46"/>
  <c r="D36" i="46"/>
  <c r="D35" i="46"/>
  <c r="C38" i="46"/>
  <c r="C37" i="46"/>
  <c r="C36" i="46"/>
  <c r="C35" i="46"/>
  <c r="B35" i="46"/>
  <c r="B38" i="46"/>
  <c r="B37" i="46"/>
  <c r="B36" i="46"/>
  <c r="C55" i="45"/>
  <c r="C45" i="45"/>
  <c r="C10" i="45"/>
  <c r="C11" i="40" l="1"/>
  <c r="G39" i="46"/>
  <c r="G40" i="46" s="1"/>
  <c r="C8" i="40" s="1"/>
  <c r="C39" i="46"/>
  <c r="C40" i="46" s="1"/>
  <c r="D39" i="46"/>
  <c r="D40" i="46" s="1"/>
  <c r="H33" i="46"/>
  <c r="H45" i="46" s="1"/>
  <c r="L45" i="46"/>
  <c r="B40" i="46"/>
  <c r="E40" i="46"/>
  <c r="C44" i="46"/>
  <c r="D44" i="46" s="1"/>
  <c r="E44" i="46" s="1"/>
  <c r="F44" i="46" s="1"/>
  <c r="G44" i="46" s="1"/>
  <c r="H44" i="46" s="1"/>
  <c r="I44" i="46" s="1"/>
  <c r="J44" i="46" s="1"/>
  <c r="K44" i="46" s="1"/>
  <c r="L44" i="46" s="1"/>
  <c r="M44" i="46" s="1"/>
  <c r="F40" i="46"/>
  <c r="C17" i="40"/>
  <c r="AJ48" i="69" l="1"/>
  <c r="AJ49" i="69" s="1"/>
  <c r="D39" i="67"/>
  <c r="E39" i="67" s="1"/>
  <c r="D17" i="67"/>
  <c r="E17" i="67" s="1"/>
  <c r="D13" i="67"/>
  <c r="E13" i="67" s="1"/>
  <c r="D18" i="67" l="1"/>
  <c r="C12" i="40"/>
  <c r="D23" i="67" l="1"/>
  <c r="E19" i="67"/>
  <c r="BH41" i="51"/>
  <c r="BH43" i="51" s="1"/>
  <c r="D41" i="67" l="1"/>
  <c r="E41" i="67" s="1"/>
  <c r="E23" i="67"/>
  <c r="C42" i="67"/>
  <c r="C20" i="40" s="1"/>
  <c r="C48" i="67"/>
  <c r="Z35" i="69"/>
  <c r="Z13" i="69"/>
  <c r="Z9" i="69"/>
  <c r="BH3" i="51"/>
  <c r="BH7" i="51"/>
  <c r="BH16" i="51" s="1"/>
  <c r="BH14" i="51"/>
  <c r="BH21" i="51"/>
  <c r="C52" i="67" l="1"/>
  <c r="C19" i="40" s="1"/>
  <c r="D48" i="67"/>
  <c r="D52" i="67" s="1"/>
  <c r="D42" i="67"/>
  <c r="D20" i="40" s="1"/>
  <c r="Z14" i="69"/>
  <c r="Z15" i="69"/>
  <c r="Z19" i="69" s="1"/>
  <c r="Z37" i="69" s="1"/>
  <c r="D53" i="67" l="1"/>
  <c r="E48" i="67"/>
  <c r="C53" i="67"/>
  <c r="E52" i="67"/>
  <c r="Z38" i="69"/>
  <c r="Z44" i="69"/>
  <c r="Z48" i="69" s="1"/>
  <c r="Z49" i="69" s="1"/>
  <c r="BG41" i="51" l="1"/>
  <c r="BG43" i="51" s="1"/>
  <c r="BG20" i="51"/>
  <c r="BG16" i="51"/>
  <c r="BG7" i="51"/>
  <c r="BG3" i="51"/>
  <c r="BG14" i="51"/>
  <c r="BG21" i="51"/>
  <c r="Y35" i="69"/>
  <c r="Y13" i="69"/>
  <c r="Y9" i="69"/>
  <c r="Y15" i="69" l="1"/>
  <c r="Y19" i="69" s="1"/>
  <c r="Y37" i="69" s="1"/>
  <c r="Y38" i="69" s="1"/>
  <c r="Y14" i="69"/>
  <c r="C28" i="45"/>
  <c r="C51" i="45" s="1"/>
  <c r="Y44" i="69" l="1"/>
  <c r="Y48" i="69" s="1"/>
  <c r="Y49" i="69" s="1"/>
  <c r="BF41" i="51" l="1"/>
  <c r="BF43" i="51" s="1"/>
  <c r="BF20" i="51"/>
  <c r="BF14" i="51"/>
  <c r="BF3" i="51"/>
  <c r="BF7" i="51" s="1"/>
  <c r="BF21" i="51"/>
  <c r="X9" i="69"/>
  <c r="X13" i="69"/>
  <c r="X35" i="69"/>
  <c r="BF16" i="51" l="1"/>
  <c r="X14" i="69"/>
  <c r="X15" i="69"/>
  <c r="X19" i="69" s="1"/>
  <c r="X37" i="69" s="1"/>
  <c r="X38" i="69" s="1"/>
  <c r="X44" i="69" l="1"/>
  <c r="X48" i="69" s="1"/>
  <c r="X49" i="69" s="1"/>
  <c r="BE41" i="51"/>
  <c r="BE43" i="51" s="1"/>
  <c r="BE20" i="51" l="1"/>
  <c r="BE3" i="51"/>
  <c r="BE7" i="51" s="1"/>
  <c r="BE14" i="51"/>
  <c r="BE21" i="51"/>
  <c r="BE16" i="51" l="1"/>
  <c r="W35" i="69" l="1"/>
  <c r="W13" i="69"/>
  <c r="W9" i="69"/>
  <c r="W14" i="69" l="1"/>
  <c r="W15" i="69"/>
  <c r="W19" i="69" s="1"/>
  <c r="W37" i="69" s="1"/>
  <c r="W38" i="69" s="1"/>
  <c r="W44" i="69" l="1"/>
  <c r="W48" i="69" s="1"/>
  <c r="W49" i="69" s="1"/>
  <c r="BD20" i="51" l="1"/>
  <c r="BI26" i="51" s="1"/>
  <c r="BD3" i="51"/>
  <c r="BD7" i="51" s="1"/>
  <c r="BD14" i="51"/>
  <c r="BD21" i="51"/>
  <c r="V35" i="69"/>
  <c r="V13" i="69"/>
  <c r="V9" i="69"/>
  <c r="V14" i="69" l="1"/>
  <c r="V15" i="69"/>
  <c r="V19" i="69" s="1"/>
  <c r="V37" i="69" s="1"/>
  <c r="V44" i="69" s="1"/>
  <c r="V48" i="69" s="1"/>
  <c r="V49" i="69" s="1"/>
  <c r="BD16" i="51"/>
  <c r="V38" i="69" l="1"/>
  <c r="BC3" i="51" l="1"/>
  <c r="BC7" i="51" s="1"/>
  <c r="BC21" i="51"/>
  <c r="BH24" i="51" s="1"/>
  <c r="BB21" i="51"/>
  <c r="BC20" i="51"/>
  <c r="BH23" i="51" s="1"/>
  <c r="BH25" i="51" s="1"/>
  <c r="BH26" i="51" s="1"/>
  <c r="BC14" i="51"/>
  <c r="U35" i="69"/>
  <c r="U13" i="69"/>
  <c r="U9" i="69"/>
  <c r="BG24" i="51" l="1"/>
  <c r="U14" i="69"/>
  <c r="BC16" i="51"/>
  <c r="U15" i="69"/>
  <c r="U19" i="69" s="1"/>
  <c r="U37" i="69" l="1"/>
  <c r="U44" i="69" l="1"/>
  <c r="U48" i="69" s="1"/>
  <c r="U49" i="69" s="1"/>
  <c r="U38" i="69"/>
  <c r="T35" i="69" l="1"/>
  <c r="T13" i="69"/>
  <c r="T9" i="69"/>
  <c r="T14" i="69" l="1"/>
  <c r="T15" i="69"/>
  <c r="T19" i="69" s="1"/>
  <c r="T37" i="69" l="1"/>
  <c r="T38" i="69" s="1"/>
  <c r="C3" i="51"/>
  <c r="D3" i="51"/>
  <c r="E3" i="51"/>
  <c r="F3" i="51"/>
  <c r="G3" i="51"/>
  <c r="H3" i="51"/>
  <c r="I3" i="51"/>
  <c r="J3" i="51"/>
  <c r="K3" i="51"/>
  <c r="L3" i="51"/>
  <c r="M3" i="51"/>
  <c r="N3" i="51"/>
  <c r="C5" i="51"/>
  <c r="D5" i="51"/>
  <c r="E5" i="51"/>
  <c r="F5" i="51"/>
  <c r="G5" i="51"/>
  <c r="H5" i="51"/>
  <c r="I5" i="51"/>
  <c r="N5" i="51"/>
  <c r="C7" i="51"/>
  <c r="D7" i="51"/>
  <c r="E7" i="51"/>
  <c r="F7" i="51"/>
  <c r="G7" i="51"/>
  <c r="H7" i="51"/>
  <c r="I7" i="51"/>
  <c r="J7" i="51"/>
  <c r="K7" i="51"/>
  <c r="L7" i="51"/>
  <c r="M7" i="51"/>
  <c r="N7" i="51"/>
  <c r="C14" i="51"/>
  <c r="D14" i="51"/>
  <c r="E14" i="51"/>
  <c r="F14" i="51"/>
  <c r="G14" i="51"/>
  <c r="H14" i="51"/>
  <c r="H16" i="51" s="1"/>
  <c r="I14" i="51"/>
  <c r="J14" i="51"/>
  <c r="K14" i="51"/>
  <c r="L14" i="51"/>
  <c r="M14" i="51"/>
  <c r="N14" i="51"/>
  <c r="C16" i="51"/>
  <c r="D16" i="51"/>
  <c r="E16" i="51"/>
  <c r="F16" i="51"/>
  <c r="G16" i="51"/>
  <c r="I16" i="51"/>
  <c r="M16" i="51"/>
  <c r="C27" i="51"/>
  <c r="D27" i="51"/>
  <c r="D28" i="51" s="1"/>
  <c r="E27" i="51"/>
  <c r="F27" i="51"/>
  <c r="F28" i="51" s="1"/>
  <c r="G27" i="51"/>
  <c r="G28" i="51" s="1"/>
  <c r="H27" i="51"/>
  <c r="H28" i="51" s="1"/>
  <c r="I27" i="51"/>
  <c r="I28" i="51" s="1"/>
  <c r="J27" i="51"/>
  <c r="J28" i="51" s="1"/>
  <c r="K27" i="51"/>
  <c r="K28" i="51" s="1"/>
  <c r="L27" i="51"/>
  <c r="L28" i="51" s="1"/>
  <c r="M27" i="51"/>
  <c r="N27" i="51"/>
  <c r="N28" i="51" s="1"/>
  <c r="C28" i="51"/>
  <c r="E28" i="51"/>
  <c r="M28" i="51"/>
  <c r="C29" i="51"/>
  <c r="D29" i="51"/>
  <c r="E29" i="51"/>
  <c r="F29" i="51"/>
  <c r="G29" i="51"/>
  <c r="H29" i="51"/>
  <c r="I29" i="51"/>
  <c r="J29" i="51"/>
  <c r="K29" i="51"/>
  <c r="L29" i="51"/>
  <c r="M29" i="51"/>
  <c r="N29" i="51"/>
  <c r="O3" i="51"/>
  <c r="O7" i="51" s="1"/>
  <c r="P3" i="51"/>
  <c r="P7" i="51" s="1"/>
  <c r="Q3" i="51"/>
  <c r="Q7" i="51" s="1"/>
  <c r="R3" i="51"/>
  <c r="R7" i="51" s="1"/>
  <c r="S3" i="51"/>
  <c r="S7" i="51" s="1"/>
  <c r="T3" i="51"/>
  <c r="T7" i="51" s="1"/>
  <c r="U3" i="51"/>
  <c r="V3" i="51"/>
  <c r="V7" i="51" s="1"/>
  <c r="W3" i="51"/>
  <c r="W7" i="51" s="1"/>
  <c r="X3" i="51"/>
  <c r="X7" i="51" s="1"/>
  <c r="Y3" i="51"/>
  <c r="Z3" i="51"/>
  <c r="Z7" i="51" s="1"/>
  <c r="U6" i="51"/>
  <c r="Y6" i="51"/>
  <c r="W10" i="51"/>
  <c r="W20" i="51" s="1"/>
  <c r="O14" i="51"/>
  <c r="P14" i="51"/>
  <c r="Q14" i="51"/>
  <c r="R14" i="51"/>
  <c r="S14" i="51"/>
  <c r="T14" i="51"/>
  <c r="U14" i="51"/>
  <c r="V14" i="51"/>
  <c r="X14" i="51"/>
  <c r="Y14" i="51"/>
  <c r="Z14" i="51"/>
  <c r="V20" i="51"/>
  <c r="Y20" i="51"/>
  <c r="Z20" i="51"/>
  <c r="V21" i="51"/>
  <c r="W21" i="51"/>
  <c r="X21" i="51"/>
  <c r="Y21" i="51"/>
  <c r="Z21" i="51"/>
  <c r="Q25" i="51"/>
  <c r="Q26" i="51"/>
  <c r="O27" i="51"/>
  <c r="O28" i="51" s="1"/>
  <c r="O29" i="51"/>
  <c r="Q29" i="51"/>
  <c r="AC20" i="51"/>
  <c r="BB20" i="51"/>
  <c r="BG23" i="51" s="1"/>
  <c r="BG25" i="51" s="1"/>
  <c r="BG26" i="51" s="1"/>
  <c r="BB3" i="51"/>
  <c r="BB7" i="51" s="1"/>
  <c r="BB14" i="51"/>
  <c r="L16" i="51" l="1"/>
  <c r="T44" i="69"/>
  <c r="T48" i="69" s="1"/>
  <c r="T49" i="69" s="1"/>
  <c r="J16" i="51"/>
  <c r="C31" i="51"/>
  <c r="G31" i="51"/>
  <c r="K16" i="51"/>
  <c r="N16" i="51"/>
  <c r="E31" i="51"/>
  <c r="D31" i="51"/>
  <c r="M31" i="51"/>
  <c r="N31" i="51"/>
  <c r="I31" i="51"/>
  <c r="K31" i="51"/>
  <c r="F31" i="51"/>
  <c r="H31" i="51"/>
  <c r="L31" i="51"/>
  <c r="J31" i="51"/>
  <c r="S16" i="51"/>
  <c r="W14" i="51"/>
  <c r="W16" i="51" s="1"/>
  <c r="Y7" i="51"/>
  <c r="Y16" i="51" s="1"/>
  <c r="Q16" i="51"/>
  <c r="U7" i="51"/>
  <c r="U16" i="51" s="1"/>
  <c r="Q27" i="51"/>
  <c r="Q28" i="51" s="1"/>
  <c r="Q31" i="51" s="1"/>
  <c r="X16" i="51"/>
  <c r="P16" i="51"/>
  <c r="O31" i="51"/>
  <c r="O16" i="51"/>
  <c r="Z16" i="51"/>
  <c r="V16" i="51"/>
  <c r="R16" i="51"/>
  <c r="T16" i="51"/>
  <c r="X20" i="51"/>
  <c r="BB16" i="51"/>
  <c r="BA20" i="51" l="1"/>
  <c r="BF23" i="51" s="1"/>
  <c r="BA3" i="51"/>
  <c r="BA7" i="51" s="1"/>
  <c r="BA14" i="51"/>
  <c r="BA21" i="51"/>
  <c r="BF24" i="51" s="1"/>
  <c r="S35" i="69"/>
  <c r="S13" i="69"/>
  <c r="S9" i="69"/>
  <c r="BF25" i="51" l="1"/>
  <c r="BF26" i="51" s="1"/>
  <c r="S15" i="69"/>
  <c r="S19" i="69" s="1"/>
  <c r="S37" i="69" s="1"/>
  <c r="S44" i="69" s="1"/>
  <c r="S48" i="69" s="1"/>
  <c r="S49" i="69" s="1"/>
  <c r="S14" i="69"/>
  <c r="BA16" i="51"/>
  <c r="S38" i="69" l="1"/>
  <c r="R35" i="69" l="1"/>
  <c r="R13" i="69"/>
  <c r="R9" i="69"/>
  <c r="R14" i="69" l="1"/>
  <c r="R15" i="69"/>
  <c r="R19" i="69" s="1"/>
  <c r="AZ20" i="51"/>
  <c r="BE23" i="51" s="1"/>
  <c r="AZ21" i="51"/>
  <c r="BE24" i="51" s="1"/>
  <c r="AT20" i="51"/>
  <c r="AZ3" i="51"/>
  <c r="AZ7" i="51" s="1"/>
  <c r="AZ14" i="51"/>
  <c r="BE25" i="51" l="1"/>
  <c r="BE26" i="51" s="1"/>
  <c r="R37" i="69"/>
  <c r="R44" i="69" s="1"/>
  <c r="R48" i="69" s="1"/>
  <c r="R49" i="69" s="1"/>
  <c r="AZ16" i="51"/>
  <c r="R38" i="69" l="1"/>
  <c r="AY21" i="51" l="1"/>
  <c r="BD24" i="51" s="1"/>
  <c r="BD23" i="51"/>
  <c r="AY3" i="51"/>
  <c r="AY7" i="51" s="1"/>
  <c r="AY14" i="51"/>
  <c r="Q35" i="69"/>
  <c r="Q13" i="69"/>
  <c r="Q9" i="69"/>
  <c r="Q15" i="69" l="1"/>
  <c r="Q19" i="69" s="1"/>
  <c r="Q37" i="69" s="1"/>
  <c r="Q38" i="69" s="1"/>
  <c r="BD25" i="51"/>
  <c r="BD26" i="51" s="1"/>
  <c r="AY16" i="51"/>
  <c r="Q14" i="69"/>
  <c r="Q44" i="69" l="1"/>
  <c r="Q48" i="69" s="1"/>
  <c r="Q49" i="69" s="1"/>
  <c r="P35" i="69" l="1"/>
  <c r="P13" i="69" l="1"/>
  <c r="BC23" i="51"/>
  <c r="AX21" i="51"/>
  <c r="BC24" i="51" s="1"/>
  <c r="AX3" i="51"/>
  <c r="AX7" i="51" s="1"/>
  <c r="AX14" i="51"/>
  <c r="BC25" i="51" l="1"/>
  <c r="BC26" i="51" s="1"/>
  <c r="AX16" i="51"/>
  <c r="AW20" i="51" l="1"/>
  <c r="BB23" i="51" s="1"/>
  <c r="AW14" i="51"/>
  <c r="AW3" i="51"/>
  <c r="AW7" i="51" s="1"/>
  <c r="AW21" i="51"/>
  <c r="BB24" i="51" s="1"/>
  <c r="O9" i="69"/>
  <c r="AW16" i="51" l="1"/>
  <c r="BB25" i="51"/>
  <c r="BB26" i="51" s="1"/>
  <c r="O35" i="69" l="1"/>
  <c r="P9" i="69"/>
  <c r="O13" i="69"/>
  <c r="O15" i="69" s="1"/>
  <c r="O19" i="69" s="1"/>
  <c r="D35" i="69"/>
  <c r="D13" i="69"/>
  <c r="D9" i="69"/>
  <c r="D15" i="69" s="1"/>
  <c r="D19" i="69" s="1"/>
  <c r="D37" i="69" s="1"/>
  <c r="D38" i="69" s="1"/>
  <c r="C35" i="69"/>
  <c r="C13" i="69"/>
  <c r="C9" i="69"/>
  <c r="J35" i="69"/>
  <c r="J9" i="69"/>
  <c r="H35" i="69"/>
  <c r="H9" i="69"/>
  <c r="G35" i="69"/>
  <c r="G9" i="69"/>
  <c r="F35" i="69"/>
  <c r="E35" i="69"/>
  <c r="I35" i="69"/>
  <c r="E13" i="69"/>
  <c r="F13" i="69"/>
  <c r="G13" i="69"/>
  <c r="H13" i="69"/>
  <c r="H14" i="69" s="1"/>
  <c r="I13" i="69"/>
  <c r="J13" i="69"/>
  <c r="E9" i="69"/>
  <c r="F9" i="69"/>
  <c r="I9" i="69"/>
  <c r="N35" i="69"/>
  <c r="N13" i="69"/>
  <c r="N9" i="69"/>
  <c r="N14" i="69" s="1"/>
  <c r="K35" i="69"/>
  <c r="K13" i="69"/>
  <c r="K9" i="69"/>
  <c r="C15" i="69" l="1"/>
  <c r="C19" i="69" s="1"/>
  <c r="K14" i="69"/>
  <c r="C14" i="69"/>
  <c r="D14" i="69"/>
  <c r="G14" i="69"/>
  <c r="J14" i="69"/>
  <c r="F14" i="69"/>
  <c r="I14" i="69"/>
  <c r="E14" i="69"/>
  <c r="E15" i="69"/>
  <c r="E19" i="69" s="1"/>
  <c r="E37" i="69" s="1"/>
  <c r="E38" i="69" s="1"/>
  <c r="P15" i="69"/>
  <c r="P14" i="69"/>
  <c r="O37" i="69"/>
  <c r="O38" i="69" s="1"/>
  <c r="O14" i="69"/>
  <c r="G15" i="69"/>
  <c r="G19" i="69" s="1"/>
  <c r="N15" i="69"/>
  <c r="N19" i="69" s="1"/>
  <c r="N37" i="69" s="1"/>
  <c r="N38" i="69" s="1"/>
  <c r="D44" i="69"/>
  <c r="D48" i="69" s="1"/>
  <c r="D49" i="69" s="1"/>
  <c r="J15" i="69"/>
  <c r="J19" i="69" s="1"/>
  <c r="I15" i="69"/>
  <c r="H15" i="69"/>
  <c r="H19" i="69" s="1"/>
  <c r="F15" i="69"/>
  <c r="F19" i="69" s="1"/>
  <c r="K15" i="69"/>
  <c r="K19" i="69" s="1"/>
  <c r="K37" i="69" s="1"/>
  <c r="K38" i="69" s="1"/>
  <c r="N44" i="69" l="1"/>
  <c r="N48" i="69" s="1"/>
  <c r="N49" i="69" s="1"/>
  <c r="J37" i="69"/>
  <c r="J38" i="69" s="1"/>
  <c r="F37" i="69"/>
  <c r="F38" i="69" s="1"/>
  <c r="E44" i="69"/>
  <c r="E48" i="69" s="1"/>
  <c r="E49" i="69" s="1"/>
  <c r="P19" i="69"/>
  <c r="P37" i="69" s="1"/>
  <c r="P44" i="69" s="1"/>
  <c r="P48" i="69" s="1"/>
  <c r="P49" i="69" s="1"/>
  <c r="O44" i="69"/>
  <c r="O48" i="69" s="1"/>
  <c r="O49" i="69" s="1"/>
  <c r="I19" i="69"/>
  <c r="G37" i="69"/>
  <c r="H37" i="69"/>
  <c r="K44" i="69"/>
  <c r="K48" i="69" s="1"/>
  <c r="K49" i="69" s="1"/>
  <c r="J44" i="69" l="1"/>
  <c r="J48" i="69" s="1"/>
  <c r="J49" i="69" s="1"/>
  <c r="F44" i="69"/>
  <c r="F48" i="69" s="1"/>
  <c r="F49" i="69" s="1"/>
  <c r="I37" i="69"/>
  <c r="I38" i="69" s="1"/>
  <c r="P38" i="69"/>
  <c r="G44" i="69"/>
  <c r="G48" i="69" s="1"/>
  <c r="G49" i="69" s="1"/>
  <c r="G38" i="69"/>
  <c r="H44" i="69"/>
  <c r="H48" i="69" s="1"/>
  <c r="H49" i="69" s="1"/>
  <c r="H38" i="69"/>
  <c r="L35" i="69"/>
  <c r="L13" i="69"/>
  <c r="L9" i="69"/>
  <c r="I44" i="69" l="1"/>
  <c r="I48" i="69" s="1"/>
  <c r="I49" i="69" s="1"/>
  <c r="L14" i="69"/>
  <c r="L15" i="69"/>
  <c r="L19" i="69" s="1"/>
  <c r="L37" i="69" l="1"/>
  <c r="L38" i="69" s="1"/>
  <c r="L44" i="69"/>
  <c r="L48" i="69" s="1"/>
  <c r="L49" i="69" s="1"/>
  <c r="M35" i="69"/>
  <c r="M13" i="69"/>
  <c r="M9" i="69"/>
  <c r="M14" i="69" l="1"/>
  <c r="M15" i="69"/>
  <c r="M19" i="69" s="1"/>
  <c r="M37" i="69" l="1"/>
  <c r="AV21" i="51"/>
  <c r="BA24" i="51" s="1"/>
  <c r="AV20" i="51"/>
  <c r="BA23" i="51" s="1"/>
  <c r="M38" i="69" l="1"/>
  <c r="M44" i="69"/>
  <c r="M48" i="69" s="1"/>
  <c r="M49" i="69" s="1"/>
  <c r="BA25" i="51"/>
  <c r="BA26" i="51" s="1"/>
  <c r="AV14" i="51"/>
  <c r="AV7" i="51"/>
  <c r="AV16" i="51" l="1"/>
  <c r="AU21" i="51" l="1"/>
  <c r="AZ24" i="51" s="1"/>
  <c r="AU20" i="51"/>
  <c r="AU14" i="51"/>
  <c r="AU7" i="51"/>
  <c r="AZ23" i="51" l="1"/>
  <c r="AZ25" i="51" s="1"/>
  <c r="AZ26" i="51" s="1"/>
  <c r="AU16" i="51"/>
  <c r="AT14" i="51" l="1"/>
  <c r="AT7" i="51" l="1"/>
  <c r="AT21" i="51"/>
  <c r="AY24" i="51" s="1"/>
  <c r="AY25" i="51" s="1"/>
  <c r="AY26" i="51" s="1"/>
  <c r="AT16" i="51" l="1"/>
  <c r="AS20" i="51" l="1"/>
  <c r="AX23" i="51" s="1"/>
  <c r="AS7" i="51"/>
  <c r="AS14" i="51"/>
  <c r="AS21" i="51"/>
  <c r="AX24" i="51" s="1"/>
  <c r="AS16" i="51" l="1"/>
  <c r="AX25" i="51"/>
  <c r="AX26" i="51" s="1"/>
  <c r="C37" i="69" l="1"/>
  <c r="J48" i="67"/>
  <c r="F48" i="67"/>
  <c r="C44" i="69" l="1"/>
  <c r="C48" i="69" s="1"/>
  <c r="C49" i="69" s="1"/>
  <c r="C38" i="69"/>
  <c r="AR21" i="51" l="1"/>
  <c r="AW24" i="51" s="1"/>
  <c r="AR20" i="51"/>
  <c r="AW23" i="51" s="1"/>
  <c r="AR7" i="51"/>
  <c r="AR14" i="51"/>
  <c r="AQ21" i="51"/>
  <c r="AV24" i="51" s="1"/>
  <c r="AP21" i="51"/>
  <c r="AO21" i="51"/>
  <c r="AN21" i="51"/>
  <c r="AM21" i="51"/>
  <c r="AL21" i="51"/>
  <c r="AK21" i="51"/>
  <c r="AJ21" i="51"/>
  <c r="AI21" i="51"/>
  <c r="AH21" i="51"/>
  <c r="AG21" i="51"/>
  <c r="AF21" i="51"/>
  <c r="AE21" i="51"/>
  <c r="AD21" i="51"/>
  <c r="AC21" i="51"/>
  <c r="AB21" i="51"/>
  <c r="AA21" i="51"/>
  <c r="AA24" i="51" s="1"/>
  <c r="AO20" i="51"/>
  <c r="AN20" i="51"/>
  <c r="AM20" i="51"/>
  <c r="AL20" i="51"/>
  <c r="AK20" i="51"/>
  <c r="AJ20" i="51"/>
  <c r="AI20" i="51"/>
  <c r="AH20" i="51"/>
  <c r="AG20" i="51"/>
  <c r="AF20" i="51"/>
  <c r="AE20" i="51"/>
  <c r="AD20" i="51"/>
  <c r="AB20" i="51"/>
  <c r="AA20" i="51"/>
  <c r="AQ14" i="51"/>
  <c r="AO14" i="51"/>
  <c r="AN14" i="51"/>
  <c r="AM14" i="51"/>
  <c r="AL14" i="51"/>
  <c r="AK14" i="51"/>
  <c r="AJ14" i="51"/>
  <c r="AI14" i="51"/>
  <c r="AH14" i="51"/>
  <c r="AG14" i="51"/>
  <c r="AF14" i="51"/>
  <c r="AE14" i="51"/>
  <c r="AD14" i="51"/>
  <c r="AC14" i="51"/>
  <c r="AB14" i="51"/>
  <c r="AA14" i="51"/>
  <c r="AP10" i="51"/>
  <c r="AQ20" i="51" s="1"/>
  <c r="AQ7" i="51"/>
  <c r="AP7" i="51"/>
  <c r="AO7" i="51"/>
  <c r="AN7" i="51"/>
  <c r="AM7" i="51"/>
  <c r="AL7" i="51"/>
  <c r="AK7" i="51"/>
  <c r="AJ7" i="51"/>
  <c r="AI7" i="51"/>
  <c r="AH3" i="51"/>
  <c r="AH7" i="51" s="1"/>
  <c r="AG3" i="51"/>
  <c r="AG7" i="51" s="1"/>
  <c r="AF3" i="51"/>
  <c r="AF7" i="51" s="1"/>
  <c r="AE3" i="51"/>
  <c r="AE7" i="51" s="1"/>
  <c r="AD3" i="51"/>
  <c r="AD7" i="51" s="1"/>
  <c r="AC3" i="51"/>
  <c r="AC7" i="51" s="1"/>
  <c r="AB3" i="51"/>
  <c r="AB7" i="51" s="1"/>
  <c r="AA3" i="51"/>
  <c r="AA7" i="51" s="1"/>
  <c r="AC16" i="51" l="1"/>
  <c r="AG16" i="51"/>
  <c r="AK16" i="51"/>
  <c r="AO16" i="51"/>
  <c r="AV23" i="51"/>
  <c r="AV25" i="51" s="1"/>
  <c r="AV26" i="51" s="1"/>
  <c r="AJ23" i="51"/>
  <c r="AR16" i="51"/>
  <c r="AR24" i="51"/>
  <c r="AN23" i="51"/>
  <c r="AF23" i="51"/>
  <c r="AI16" i="51"/>
  <c r="AM16" i="51"/>
  <c r="AQ16" i="51"/>
  <c r="AD23" i="51"/>
  <c r="AL23" i="51"/>
  <c r="AL24" i="51"/>
  <c r="AJ16" i="51"/>
  <c r="AN16" i="51"/>
  <c r="AB23" i="51"/>
  <c r="AE23" i="51"/>
  <c r="AI23" i="51"/>
  <c r="AM23" i="51"/>
  <c r="AE24" i="51"/>
  <c r="AI24" i="51"/>
  <c r="AM24" i="51"/>
  <c r="AQ24" i="51"/>
  <c r="AU24" i="51"/>
  <c r="AC23" i="51"/>
  <c r="AG23" i="51"/>
  <c r="AK23" i="51"/>
  <c r="AO23" i="51"/>
  <c r="AC24" i="51"/>
  <c r="AG24" i="51"/>
  <c r="AK24" i="51"/>
  <c r="AO24" i="51"/>
  <c r="AS24" i="51"/>
  <c r="AW25" i="51"/>
  <c r="AW26" i="51" s="1"/>
  <c r="AH23" i="51"/>
  <c r="AD24" i="51"/>
  <c r="AH24" i="51"/>
  <c r="AP24" i="51"/>
  <c r="AT24" i="51"/>
  <c r="AA23" i="51"/>
  <c r="AA25" i="51" s="1"/>
  <c r="AA26" i="51" s="1"/>
  <c r="AA16" i="51"/>
  <c r="AE16" i="51"/>
  <c r="AB16" i="51"/>
  <c r="AF16" i="51"/>
  <c r="AD16" i="51"/>
  <c r="AH16" i="51"/>
  <c r="AL16" i="51"/>
  <c r="AB24" i="51"/>
  <c r="AB25" i="51" s="1"/>
  <c r="AB26" i="51" s="1"/>
  <c r="AF24" i="51"/>
  <c r="AJ24" i="51"/>
  <c r="AN24" i="51"/>
  <c r="AP20" i="51"/>
  <c r="AT23" i="51" s="1"/>
  <c r="AP14" i="51"/>
  <c r="AP16" i="51" s="1"/>
  <c r="AF25" i="51" l="1"/>
  <c r="AF26" i="51" s="1"/>
  <c r="AJ25" i="51"/>
  <c r="AJ26" i="51" s="1"/>
  <c r="AI25" i="51"/>
  <c r="AI26" i="51" s="1"/>
  <c r="AT25" i="51"/>
  <c r="AT26" i="51" s="1"/>
  <c r="AL25" i="51"/>
  <c r="AL26" i="51" s="1"/>
  <c r="AG25" i="51"/>
  <c r="AG26" i="51" s="1"/>
  <c r="AN25" i="51"/>
  <c r="AN26" i="51" s="1"/>
  <c r="AO25" i="51"/>
  <c r="AO26" i="51" s="1"/>
  <c r="AH25" i="51"/>
  <c r="AH26" i="51" s="1"/>
  <c r="AQ23" i="51"/>
  <c r="AQ25" i="51" s="1"/>
  <c r="AQ26" i="51" s="1"/>
  <c r="AS23" i="51"/>
  <c r="AS25" i="51" s="1"/>
  <c r="AS26" i="51" s="1"/>
  <c r="AC25" i="51"/>
  <c r="AC26" i="51" s="1"/>
  <c r="AM25" i="51"/>
  <c r="AM26" i="51" s="1"/>
  <c r="AD25" i="51"/>
  <c r="AD26" i="51" s="1"/>
  <c r="AK25" i="51"/>
  <c r="AK26" i="51" s="1"/>
  <c r="AE25" i="51"/>
  <c r="AE26" i="51" s="1"/>
  <c r="AP23" i="51"/>
  <c r="AP25" i="51" s="1"/>
  <c r="AP26" i="51" s="1"/>
  <c r="AU23" i="51"/>
  <c r="AU25" i="51" s="1"/>
  <c r="AU26" i="51" s="1"/>
  <c r="AR23" i="51"/>
  <c r="AR25" i="51" s="1"/>
  <c r="AR26" i="51" s="1"/>
  <c r="E20" i="40" l="1"/>
  <c r="S77" i="52" l="1"/>
  <c r="E19" i="40" l="1"/>
</calcChain>
</file>

<file path=xl/comments1.xml><?xml version="1.0" encoding="utf-8"?>
<comments xmlns="http://schemas.openxmlformats.org/spreadsheetml/2006/main">
  <authors>
    <author>Laura Etling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Laura Etling:</t>
        </r>
        <r>
          <rPr>
            <sz val="9"/>
            <color indexed="81"/>
            <rFont val="Tahoma"/>
            <family val="2"/>
          </rPr>
          <t xml:space="preserve">
updated based on final audited numbers -- the reason it doesn't match May #'s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Laura Etling:</t>
        </r>
        <r>
          <rPr>
            <sz val="9"/>
            <color indexed="81"/>
            <rFont val="Tahoma"/>
            <family val="2"/>
          </rPr>
          <t xml:space="preserve">
updated based on final audited numbers -- the reason it doesn't match May #'s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Laura Etling:</t>
        </r>
        <r>
          <rPr>
            <sz val="9"/>
            <color indexed="81"/>
            <rFont val="Tahoma"/>
            <family val="2"/>
          </rPr>
          <t xml:space="preserve">
updated based on final audited numbers -- the reason it doesn't match May #'s</t>
        </r>
      </text>
    </comment>
  </commentList>
</comments>
</file>

<file path=xl/comments2.xml><?xml version="1.0" encoding="utf-8"?>
<comments xmlns="http://schemas.openxmlformats.org/spreadsheetml/2006/main">
  <authors>
    <author>Laura Etling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Laura Etling:</t>
        </r>
        <r>
          <rPr>
            <sz val="9"/>
            <color indexed="81"/>
            <rFont val="Tahoma"/>
            <family val="2"/>
          </rPr>
          <t xml:space="preserve">
updated numbers after audit entries (so this months May #'s don't match May financials)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Laura Etling:</t>
        </r>
        <r>
          <rPr>
            <sz val="9"/>
            <color indexed="81"/>
            <rFont val="Tahoma"/>
            <family val="2"/>
          </rPr>
          <t xml:space="preserve">
updated with "final" unaudited numbers on 2/22/17
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>Laura Etling:</t>
        </r>
        <r>
          <rPr>
            <sz val="9"/>
            <color indexed="81"/>
            <rFont val="Tahoma"/>
            <family val="2"/>
          </rPr>
          <t xml:space="preserve">
negative b/c rec'd more in taxes than booked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>Laura Etling:</t>
        </r>
        <r>
          <rPr>
            <sz val="9"/>
            <color indexed="81"/>
            <rFont val="Tahoma"/>
            <family val="2"/>
          </rPr>
          <t xml:space="preserve">
negative b/c rec'd more in taxes than booked</t>
        </r>
      </text>
    </comment>
  </commentList>
</comments>
</file>

<file path=xl/comments3.xml><?xml version="1.0" encoding="utf-8"?>
<comments xmlns="http://schemas.openxmlformats.org/spreadsheetml/2006/main">
  <authors>
    <author>shirleyh</author>
    <author>Laura Etling</author>
    <author>laurae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</rPr>
          <t>shirleyh:</t>
        </r>
        <r>
          <rPr>
            <sz val="8"/>
            <color indexed="81"/>
            <rFont val="Tahoma"/>
            <family val="2"/>
          </rPr>
          <t xml:space="preserve">
Use YTD amount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>shirleyh:</t>
        </r>
        <r>
          <rPr>
            <sz val="8"/>
            <color indexed="81"/>
            <rFont val="Tahoma"/>
            <family val="2"/>
          </rPr>
          <t xml:space="preserve">
Stopped including in
2010 as already included in Total Op Exp when mapping changed in 2008
</t>
        </r>
      </text>
    </comment>
    <comment ref="AT11" authorId="1" shapeId="0">
      <text>
        <r>
          <rPr>
            <b/>
            <sz val="9"/>
            <color indexed="81"/>
            <rFont val="Tahoma"/>
            <family val="2"/>
          </rPr>
          <t>Laura Etling:</t>
        </r>
        <r>
          <rPr>
            <sz val="9"/>
            <color indexed="81"/>
            <rFont val="Tahoma"/>
            <family val="2"/>
          </rPr>
          <t xml:space="preserve">
interest expense moved out of operating expenses, have to add back in</t>
        </r>
      </text>
    </comment>
    <comment ref="BK20" authorId="1" shapeId="0">
      <text>
        <r>
          <rPr>
            <b/>
            <sz val="9"/>
            <color indexed="81"/>
            <rFont val="Tahoma"/>
            <family val="2"/>
          </rPr>
          <t>Laura Etling:</t>
        </r>
        <r>
          <rPr>
            <sz val="9"/>
            <color indexed="81"/>
            <rFont val="Tahoma"/>
            <family val="2"/>
          </rPr>
          <t xml:space="preserve">
changed calc for Jan, change back for all other months</t>
        </r>
      </text>
    </comment>
    <comment ref="BR26" authorId="1" shapeId="0">
      <text>
        <r>
          <rPr>
            <b/>
            <sz val="9"/>
            <color indexed="81"/>
            <rFont val="Tahoma"/>
            <family val="2"/>
          </rPr>
          <t>Laura Etling:</t>
        </r>
        <r>
          <rPr>
            <sz val="9"/>
            <color indexed="81"/>
            <rFont val="Tahoma"/>
            <family val="2"/>
          </rPr>
          <t xml:space="preserve">
changed for May 15 financials, went back and changed 2014 and all 2015 numbers</t>
        </r>
      </text>
    </comment>
    <comment ref="N29" authorId="2" shapeId="0">
      <text>
        <r>
          <rPr>
            <b/>
            <sz val="8"/>
            <color indexed="81"/>
            <rFont val="Tahoma"/>
            <family val="2"/>
          </rPr>
          <t>laurae: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1-1-12 bond principle
1-1-12 &amp; 7-1-12 bond interest
MRI siemens lease
Bank of Colorado lease
amounts paid in 2012 (since all other #'s are 2012)</t>
        </r>
      </text>
    </comment>
    <comment ref="O29" authorId="2" shapeId="0">
      <text>
        <r>
          <rPr>
            <b/>
            <sz val="8"/>
            <color indexed="81"/>
            <rFont val="Tahoma"/>
            <family val="2"/>
          </rPr>
          <t>laurae:</t>
        </r>
        <r>
          <rPr>
            <sz val="8"/>
            <color indexed="81"/>
            <rFont val="Tahoma"/>
            <family val="2"/>
          </rPr>
          <t xml:space="preserve">
bond 1/1/13 principal and 1/1/13 &amp; 7/1/13 interest
BoC lease 12 payments
Siemens lease 10 payments </t>
        </r>
      </text>
    </comment>
    <comment ref="BO34" authorId="1" shapeId="0">
      <text>
        <r>
          <rPr>
            <b/>
            <sz val="9"/>
            <color indexed="81"/>
            <rFont val="Tahoma"/>
            <charset val="1"/>
          </rPr>
          <t>Laura Etling:</t>
        </r>
        <r>
          <rPr>
            <sz val="9"/>
            <color indexed="81"/>
            <rFont val="Tahoma"/>
            <charset val="1"/>
          </rPr>
          <t xml:space="preserve">
UPDATED BASED ON AUDITED 2016 #'S</t>
        </r>
      </text>
    </comment>
  </commentList>
</comments>
</file>

<file path=xl/comments4.xml><?xml version="1.0" encoding="utf-8"?>
<comments xmlns="http://schemas.openxmlformats.org/spreadsheetml/2006/main">
  <authors>
    <author>Laura Etling</author>
  </authors>
  <commentList>
    <comment ref="AB2" authorId="0" shapeId="0">
      <text>
        <r>
          <rPr>
            <b/>
            <sz val="9"/>
            <color indexed="81"/>
            <rFont val="Tahoma"/>
            <family val="2"/>
          </rPr>
          <t>Laura Etling:</t>
        </r>
        <r>
          <rPr>
            <sz val="9"/>
            <color indexed="81"/>
            <rFont val="Tahoma"/>
            <family val="2"/>
          </rPr>
          <t xml:space="preserve">
updated 7/25/17 based on audited reports
</t>
        </r>
      </text>
    </comment>
  </commentList>
</comments>
</file>

<file path=xl/sharedStrings.xml><?xml version="1.0" encoding="utf-8"?>
<sst xmlns="http://schemas.openxmlformats.org/spreadsheetml/2006/main" count="477" uniqueCount="368">
  <si>
    <t>REVENUE</t>
  </si>
  <si>
    <t>TOTAL PATIENT REVENUE</t>
  </si>
  <si>
    <t>NET PATIENT REVENUE</t>
  </si>
  <si>
    <t>TOTAL OPERATING REVENUE</t>
  </si>
  <si>
    <t>EXPENSES</t>
  </si>
  <si>
    <t>OPERATING INCOME (LOSS)</t>
  </si>
  <si>
    <t>SKILLED NURSING FACILITY</t>
  </si>
  <si>
    <t>ESTES PARK MEDICAL CENTER</t>
  </si>
  <si>
    <t xml:space="preserve"> </t>
  </si>
  <si>
    <t>Estes Park Medical Center</t>
  </si>
  <si>
    <t>Calculation:</t>
  </si>
  <si>
    <t>Definition:</t>
  </si>
  <si>
    <t>Desired Position:</t>
  </si>
  <si>
    <t>How ratio is used:</t>
  </si>
  <si>
    <t>Total Unrestricted Cash on Hand</t>
  </si>
  <si>
    <t>This ratio quantifies the amount of cash on hand in terms</t>
  </si>
  <si>
    <t>of how many "days" an organization can survive with</t>
  </si>
  <si>
    <t>existing cash reserves.</t>
  </si>
  <si>
    <t xml:space="preserve">This ratio is frequently used by bankers, bondholders and </t>
  </si>
  <si>
    <t>meet short term obligations as they mature.</t>
  </si>
  <si>
    <t>Statement of Cash Flows (Unaudited)</t>
  </si>
  <si>
    <t>Cash Flows From Operating Activities</t>
  </si>
  <si>
    <t xml:space="preserve">  (Deficiency) Excess of Revenues over Expenses</t>
  </si>
  <si>
    <t xml:space="preserve">  Interest expense (considered financing activity)</t>
  </si>
  <si>
    <t xml:space="preserve">  County tax subsidy, net (considered financing activity)</t>
  </si>
  <si>
    <t xml:space="preserve">  Interest income (considered investing activity)</t>
  </si>
  <si>
    <t xml:space="preserve">     Net income (loss) from operating activities</t>
  </si>
  <si>
    <t xml:space="preserve">  Assets released from restrictions</t>
  </si>
  <si>
    <t xml:space="preserve">  Depreciation &amp; amortization</t>
  </si>
  <si>
    <t xml:space="preserve">  Amortization of Deferred Bond Financing Costs</t>
  </si>
  <si>
    <t xml:space="preserve">  Changes in working capital:</t>
  </si>
  <si>
    <t xml:space="preserve">    Decrease (Increase) in Accounts receivable, net</t>
  </si>
  <si>
    <t xml:space="preserve">    Decrease (Increase) in Inventory</t>
  </si>
  <si>
    <t xml:space="preserve">    Decrease (Increase) in Prepaid expenses</t>
  </si>
  <si>
    <t xml:space="preserve">    Increase (Decrease) in Accounts payable</t>
  </si>
  <si>
    <t xml:space="preserve">    Increase (Decrease) in Accrued wages &amp; related liabilities</t>
  </si>
  <si>
    <t xml:space="preserve">    Increase (Decrease) in Other current liabilities</t>
  </si>
  <si>
    <t xml:space="preserve">    Increase (Decrease) in Payable to 3rd party payors</t>
  </si>
  <si>
    <t xml:space="preserve">    Increase (Decrease) in Retirement cottage liability (current portion)</t>
  </si>
  <si>
    <t xml:space="preserve">    Increase (Decrease) in Apartment Damage Deposit Liability</t>
  </si>
  <si>
    <t xml:space="preserve">    Net (gain) loss on sale of equipment</t>
  </si>
  <si>
    <t xml:space="preserve">        Net cash provided by (used in) operating activities</t>
  </si>
  <si>
    <t>Cash Flows From Financing Activities</t>
  </si>
  <si>
    <t xml:space="preserve">  Restricted contributions</t>
  </si>
  <si>
    <t xml:space="preserve">  County tax subsidy, net</t>
  </si>
  <si>
    <t xml:space="preserve">  Interest expense</t>
  </si>
  <si>
    <t xml:space="preserve">  Sale of equipment</t>
  </si>
  <si>
    <t xml:space="preserve">  Purchase of property, equipment &amp; intangible assets</t>
  </si>
  <si>
    <t xml:space="preserve">  Increase (Decrease) in capital lease commitments, net</t>
  </si>
  <si>
    <t xml:space="preserve">  Increase (Decrease) in deferred income retirement cottage admission fees</t>
  </si>
  <si>
    <t xml:space="preserve">        Net cash provided by (used in) financing activities</t>
  </si>
  <si>
    <t>Cash Flows From Investing Activities</t>
  </si>
  <si>
    <t xml:space="preserve">  Interest income </t>
  </si>
  <si>
    <t xml:space="preserve">        Net cash provided by (used in) investing activities</t>
  </si>
  <si>
    <t>Net Increase (Decrease) in Cash and Cash Equivalents</t>
  </si>
  <si>
    <t>Balance Sheet (Unaudited)</t>
  </si>
  <si>
    <t>ASSETS</t>
  </si>
  <si>
    <t>CASH</t>
  </si>
  <si>
    <t>ACCOUNTS RECEIVABLE</t>
  </si>
  <si>
    <t>LESS: CONTRACTUAL ALLOWANCES</t>
  </si>
  <si>
    <t>LESS: PT UNCOLLECTABLE ALLOWANCE</t>
  </si>
  <si>
    <t xml:space="preserve">  NET ACCOUNTS RECEIVABLE</t>
  </si>
  <si>
    <t>RECEIVABLES FROM OTHER PAYORS</t>
  </si>
  <si>
    <t>INVENTORY</t>
  </si>
  <si>
    <t>PREPAID EXPENSES</t>
  </si>
  <si>
    <t xml:space="preserve">  TOTAL CURRENT ASSETS</t>
  </si>
  <si>
    <t>HOSPITAL</t>
  </si>
  <si>
    <t>RETIREMENT COTTAGES</t>
  </si>
  <si>
    <t>CLINIC</t>
  </si>
  <si>
    <t>LESS: ACCUMULATED DEPRECIATION &amp; AMORTIZATION</t>
  </si>
  <si>
    <t>WORK IN PROGRESS</t>
  </si>
  <si>
    <t xml:space="preserve">  TOTAL PROPERTY, EQUIPMENT &amp; INTANGIBLE  ASSETS</t>
  </si>
  <si>
    <t xml:space="preserve"> INTERNALLY DESIGNATED ASSETS</t>
  </si>
  <si>
    <t>DONOR RESTRICTED ASSETS</t>
  </si>
  <si>
    <t>BOND FUNDS</t>
  </si>
  <si>
    <t xml:space="preserve">  TOTAL ASSETS LIMITED AS TO USE</t>
  </si>
  <si>
    <t>DEFERRED BOND FINANCING COSTS</t>
  </si>
  <si>
    <t xml:space="preserve">  TOTAL OTHER ASSETS</t>
  </si>
  <si>
    <t xml:space="preserve">  TOTAL ASSETS </t>
  </si>
  <si>
    <t>LIABILITIES</t>
  </si>
  <si>
    <t>CURRENT MATURITIES OF OTHER LONG TERM DEBT</t>
  </si>
  <si>
    <t>SHORT TERM NOTES PAYABLE</t>
  </si>
  <si>
    <t>ACCOUNTS PAYABLE</t>
  </si>
  <si>
    <t>ACCRUED WAGES &amp; RELATED LIABILITIES</t>
  </si>
  <si>
    <t>OTHER CURRENT LIABILITIES</t>
  </si>
  <si>
    <t xml:space="preserve">  TOTAL CURRENT LIABILITIES</t>
  </si>
  <si>
    <t>LEASES PAYABLE</t>
  </si>
  <si>
    <t>LT BOND PAYABLE</t>
  </si>
  <si>
    <t xml:space="preserve">  TOTAL LONG-TERM LIABILITIES</t>
  </si>
  <si>
    <t xml:space="preserve">    TOTAL LIABILITIES</t>
  </si>
  <si>
    <t xml:space="preserve"> INVESTED IN CAPITAL ASSETS, NET OF RELATED DEBT</t>
  </si>
  <si>
    <t xml:space="preserve"> RESTRICTED - EXPENDABLE FOR:</t>
  </si>
  <si>
    <t xml:space="preserve">   CAPITAL ACQUISITIONS</t>
  </si>
  <si>
    <t xml:space="preserve">   SPECIFIC OPERATING ACTIVITIES</t>
  </si>
  <si>
    <t xml:space="preserve">   BOND FUNDS, NET OF RELATED DEBT</t>
  </si>
  <si>
    <t xml:space="preserve"> UNRESTRICTED </t>
  </si>
  <si>
    <t xml:space="preserve">  TOTAL NET ASSETS</t>
  </si>
  <si>
    <t>TOTAL LIABILITIES &amp; NET ASSETS</t>
  </si>
  <si>
    <t>May</t>
  </si>
  <si>
    <t>Days in Month</t>
  </si>
  <si>
    <t>Monthly Revenue</t>
  </si>
  <si>
    <t>Daily Revenue</t>
  </si>
  <si>
    <t>Nov</t>
  </si>
  <si>
    <t>Dec</t>
  </si>
  <si>
    <t>Jan</t>
  </si>
  <si>
    <t>Feb</t>
  </si>
  <si>
    <t>Jun</t>
  </si>
  <si>
    <t>Days in AR</t>
  </si>
  <si>
    <t>A/R (Gross)</t>
  </si>
  <si>
    <t>Page 5</t>
  </si>
  <si>
    <t>DAYS CASH ON HAND</t>
  </si>
  <si>
    <t>Unrestricted cash</t>
  </si>
  <si>
    <t>Limited Mill Levy fund</t>
  </si>
  <si>
    <t>Board reserved fund (note: do not include SPF or CDs that are collateral)</t>
  </si>
  <si>
    <t>Total cash to be used in calc (excludes donor rest)</t>
  </si>
  <si>
    <t>Operation &amp; maintenance expenses:</t>
  </si>
  <si>
    <t>Total Operating Expenses</t>
  </si>
  <si>
    <t>Plus Interest Expense (excludes bond int--&gt;capitalized) 01.8400.xxxxxx</t>
  </si>
  <si>
    <t>Less Depreciation</t>
  </si>
  <si>
    <t>Less Bond redemption allowance???</t>
  </si>
  <si>
    <t>Equals "Operation &amp; Maintenance" expenses</t>
  </si>
  <si>
    <t>BOND COVENANT CALC</t>
  </si>
  <si>
    <t>COVENANT THRESHOLD</t>
  </si>
  <si>
    <t>analysts to gauge an organization's liquidity--and ability to</t>
  </si>
  <si>
    <t>Bond Covenant MIN</t>
  </si>
  <si>
    <t>Daily Operating Cash Needs</t>
  </si>
  <si>
    <t>Note:</t>
  </si>
  <si>
    <t>Page 6</t>
  </si>
  <si>
    <t>Upward trend, above the median--AND above Bond Covenant Minimums</t>
  </si>
  <si>
    <t>Print Bal Sheet from Meditech</t>
  </si>
  <si>
    <t>Print Trial Bal on Account</t>
  </si>
  <si>
    <t>YTD</t>
  </si>
  <si>
    <t>CURRENT PORTION BONDS PAYABLE</t>
  </si>
  <si>
    <t>EXCESS REVENUES YTD</t>
  </si>
  <si>
    <t>Bond Activity</t>
  </si>
  <si>
    <t>Gross Accounts Receivable</t>
  </si>
  <si>
    <t>Average Daily Revenue</t>
  </si>
  <si>
    <t>Considered a key "liquidity ratio" that calculates how quickly</t>
  </si>
  <si>
    <t>accounts are being paid.</t>
  </si>
  <si>
    <t>Downward trend below the median, and below average.</t>
  </si>
  <si>
    <t>Used to determine timing required to collect accounts.  Usually,</t>
  </si>
  <si>
    <t>organizations below the average Days in AR are likely to have</t>
  </si>
  <si>
    <t>higher levels of Days Cash on Hand.</t>
  </si>
  <si>
    <t>DEBT SERVICE COVERAGE RATIO</t>
  </si>
  <si>
    <t>Mar</t>
  </si>
  <si>
    <t>Apr</t>
  </si>
  <si>
    <t>Financial Overview</t>
  </si>
  <si>
    <t>Jul</t>
  </si>
  <si>
    <t>Principal &amp; interest payments on capital leases &amp; Bonds</t>
  </si>
  <si>
    <t>Cash From Bal Sheet</t>
  </si>
  <si>
    <t>Cash Flow Int Exp</t>
  </si>
  <si>
    <t>Cash Flow Dep</t>
  </si>
  <si>
    <t>Aug</t>
  </si>
  <si>
    <t>Sep</t>
  </si>
  <si>
    <t>Oct</t>
  </si>
  <si>
    <t>Month</t>
  </si>
  <si>
    <t>Year To Date</t>
  </si>
  <si>
    <t>% Variance</t>
  </si>
  <si>
    <t>Actual</t>
  </si>
  <si>
    <t xml:space="preserve"> Budget</t>
  </si>
  <si>
    <t>To Budget</t>
  </si>
  <si>
    <t xml:space="preserve">     Hospital</t>
  </si>
  <si>
    <t xml:space="preserve">     Nursing Home</t>
  </si>
  <si>
    <t xml:space="preserve">     Clinic</t>
  </si>
  <si>
    <t>Income Statement</t>
  </si>
  <si>
    <t xml:space="preserve">               Operating Revenue (Net)</t>
  </si>
  <si>
    <t xml:space="preserve">               Operating Expenses</t>
  </si>
  <si>
    <t xml:space="preserve">               Net Operating Income (Loss)</t>
  </si>
  <si>
    <t xml:space="preserve">     Total </t>
  </si>
  <si>
    <t xml:space="preserve">                Revenue (Net)</t>
  </si>
  <si>
    <t xml:space="preserve">             Non Operating Revenue (Net)</t>
  </si>
  <si>
    <t xml:space="preserve">                Expenses</t>
  </si>
  <si>
    <t xml:space="preserve">            Non Operating Expenses (Net)</t>
  </si>
  <si>
    <t xml:space="preserve">                Net Income (Loss)</t>
  </si>
  <si>
    <t>Excess of Rev over Exp Before Cap gifts</t>
  </si>
  <si>
    <t xml:space="preserve">           Gifts to Purchase Capital Assets</t>
  </si>
  <si>
    <t>Increase (Decrease) in Net Assets</t>
  </si>
  <si>
    <t>Statistical and Consolidated Financial Summary</t>
  </si>
  <si>
    <t>Utilization</t>
  </si>
  <si>
    <t xml:space="preserve">               In Patient Days</t>
  </si>
  <si>
    <t xml:space="preserve">               Out Patient Visits</t>
  </si>
  <si>
    <t xml:space="preserve">               Resident Days</t>
  </si>
  <si>
    <t xml:space="preserve">            In-Patient Days</t>
  </si>
  <si>
    <t>SUMMARY</t>
  </si>
  <si>
    <t>Days in Accounts Receivable</t>
  </si>
  <si>
    <t>Days Cash on Hand</t>
  </si>
  <si>
    <t>RED</t>
  </si>
  <si>
    <t>YELLOW</t>
  </si>
  <si>
    <t>GREEN</t>
  </si>
  <si>
    <t>Total Deductions from Revenue %</t>
  </si>
  <si>
    <t>Budget</t>
  </si>
  <si>
    <t>Revenue Cycle</t>
  </si>
  <si>
    <t>Liquidity</t>
  </si>
  <si>
    <t>Profitability</t>
  </si>
  <si>
    <t>FINANCIAL RATIOS</t>
  </si>
  <si>
    <t xml:space="preserve">Operating </t>
  </si>
  <si>
    <t>SHORT TERM INVESTMENT</t>
  </si>
  <si>
    <t>LONG TERM INVESTMENTS</t>
  </si>
  <si>
    <t>Page 2</t>
  </si>
  <si>
    <t>Page 4</t>
  </si>
  <si>
    <t>Page  7</t>
  </si>
  <si>
    <t>Patient Revenue</t>
  </si>
  <si>
    <t>In-Patient</t>
  </si>
  <si>
    <t>Out-Patient</t>
  </si>
  <si>
    <t>Skilled Nursing Facility</t>
  </si>
  <si>
    <t>Family Medical Clinic</t>
  </si>
  <si>
    <t>Less Patient Uncollectable Allowances</t>
  </si>
  <si>
    <t>Less Contractual Allowances</t>
  </si>
  <si>
    <t>TOTAL REVENUE DEDUCTIONS</t>
  </si>
  <si>
    <t>Professional Fees</t>
  </si>
  <si>
    <t>Physician Professional Fees</t>
  </si>
  <si>
    <t>Purchased Services</t>
  </si>
  <si>
    <t>Maintenance contracts</t>
  </si>
  <si>
    <t>Other Contracted Services/Fees</t>
  </si>
  <si>
    <t>Rent, Lease, Utilities &amp; Insurance</t>
  </si>
  <si>
    <t>Supplies</t>
  </si>
  <si>
    <t>Other Operating Expenses</t>
  </si>
  <si>
    <t>Interest</t>
  </si>
  <si>
    <t>Depreciation &amp; Amortization</t>
  </si>
  <si>
    <t>TOTAL OPERATING EXPENSE</t>
  </si>
  <si>
    <t>Other Operating Revenue</t>
  </si>
  <si>
    <t>PLUS-Non-Operating Revenue</t>
  </si>
  <si>
    <t>MINUS-Non-Operating Expense</t>
  </si>
  <si>
    <t>Statement of Revenues and Expenses (Unaudited)</t>
  </si>
  <si>
    <t>Total Margin</t>
  </si>
  <si>
    <t>OTHER INDICATORS</t>
  </si>
  <si>
    <t>&lt; 2.0%</t>
  </si>
  <si>
    <t>Consolidated YTD Ttl Op Exp</t>
  </si>
  <si>
    <t>EXCESS REVENUES (EXPENSES)</t>
  </si>
  <si>
    <t>LT Investments</t>
  </si>
  <si>
    <t xml:space="preserve">Excess Revenue (Expenses) </t>
  </si>
  <si>
    <t>OTHER ASSETS</t>
  </si>
  <si>
    <t xml:space="preserve">    Decrease (Increase) in Other Assets</t>
  </si>
  <si>
    <t xml:space="preserve">    Decrease (Increase) in Long Term Investment</t>
  </si>
  <si>
    <t xml:space="preserve">Statistics: </t>
  </si>
  <si>
    <t xml:space="preserve">Revenue: </t>
  </si>
  <si>
    <t xml:space="preserve">Expenses: </t>
  </si>
  <si>
    <t xml:space="preserve">Excess Revenues (Expenses): </t>
  </si>
  <si>
    <t xml:space="preserve">Ratio Analysis: </t>
  </si>
  <si>
    <t>YTD Surgeries at 364 is down from 2011 which was 393.</t>
  </si>
  <si>
    <t xml:space="preserve">  Increase (Decrease) in line of credit</t>
  </si>
  <si>
    <t>Hospital Professional</t>
  </si>
  <si>
    <t>2013 guess</t>
  </si>
  <si>
    <t>bond interest payments of 1-1-13 &amp; 7-1-13 and BoC &amp; Siemens interest pymts</t>
  </si>
  <si>
    <t>bond, BoC &amp; Siemens</t>
  </si>
  <si>
    <t xml:space="preserve"> based on APR 13 total and estimated remainder of 2013</t>
  </si>
  <si>
    <t>General Checking</t>
  </si>
  <si>
    <t>Petty Cash</t>
  </si>
  <si>
    <t>Health Benefits</t>
  </si>
  <si>
    <t>Health Benefits-UMR</t>
  </si>
  <si>
    <t>Flexible Benefits-BMA</t>
  </si>
  <si>
    <t>1st Nat'l Cash</t>
  </si>
  <si>
    <t>Smith Barney Cash</t>
  </si>
  <si>
    <t>SNF Patient Funds</t>
  </si>
  <si>
    <t>Flower Fund</t>
  </si>
  <si>
    <t>1100.000100</t>
  </si>
  <si>
    <t>1100.000200</t>
  </si>
  <si>
    <t>1100.000350</t>
  </si>
  <si>
    <t>1100.000355</t>
  </si>
  <si>
    <t>1100.000360</t>
  </si>
  <si>
    <t>1100.000400</t>
  </si>
  <si>
    <t>1100.000500</t>
  </si>
  <si>
    <t>1100.000600</t>
  </si>
  <si>
    <t>1100.000700</t>
  </si>
  <si>
    <t>1st Nat"l ST invest</t>
  </si>
  <si>
    <t>1110.000400</t>
  </si>
  <si>
    <t>1st Nat'l LT Investments</t>
  </si>
  <si>
    <t>Smith Barney LT Investments</t>
  </si>
  <si>
    <t>1500.000400</t>
  </si>
  <si>
    <t>1500.000500</t>
  </si>
  <si>
    <t>Board reserved fund</t>
  </si>
  <si>
    <t>TIES TO CALC NUMBER</t>
  </si>
  <si>
    <t>Employee Contract Labor</t>
  </si>
  <si>
    <t xml:space="preserve">               Estes Park Medical Group Visits</t>
  </si>
  <si>
    <t>Other Operating Revenue:</t>
  </si>
  <si>
    <t>.</t>
  </si>
  <si>
    <t>Page 1</t>
  </si>
  <si>
    <t>Gift to Purchase Capital Assets</t>
  </si>
  <si>
    <t>INCREASE (DECREASE) IN NET ASSETS</t>
  </si>
  <si>
    <t>March</t>
  </si>
  <si>
    <t>April</t>
  </si>
  <si>
    <t>Other Benefits</t>
  </si>
  <si>
    <t>Wages</t>
  </si>
  <si>
    <t>S. Radke calc method</t>
  </si>
  <si>
    <t>monthly total operating exp</t>
  </si>
  <si>
    <t>monthly depreciation</t>
  </si>
  <si>
    <t>rolling 6 month total operating exp</t>
  </si>
  <si>
    <t>Operating &amp; Maintenance expenses</t>
  </si>
  <si>
    <t>R. White calc method</t>
  </si>
  <si>
    <t>rolling 6 month depreciation</t>
  </si>
  <si>
    <t>&gt; 60</t>
  </si>
  <si>
    <t>50 - 60</t>
  </si>
  <si>
    <t>&lt; 50</t>
  </si>
  <si>
    <t>&lt; 125</t>
  </si>
  <si>
    <t>Operating Margin (12 Mo. Rolling)</t>
  </si>
  <si>
    <t>Total Margin (12 Mo. Rolling)</t>
  </si>
  <si>
    <t>12 month rolling numbers</t>
  </si>
  <si>
    <t>&gt; 10.0%</t>
  </si>
  <si>
    <t>&gt; 5%</t>
  </si>
  <si>
    <t>&lt; 5.0%</t>
  </si>
  <si>
    <t>5% - 9.99%</t>
  </si>
  <si>
    <t>Non-Operating Revenue</t>
  </si>
  <si>
    <t>Non-Operating Expense</t>
  </si>
  <si>
    <t>2% - 4.99%</t>
  </si>
  <si>
    <t>Operating Margin</t>
  </si>
  <si>
    <t>CASH TARGET</t>
  </si>
  <si>
    <t>Cash Target</t>
  </si>
  <si>
    <t>&gt; 225</t>
  </si>
  <si>
    <t>125 - 224</t>
  </si>
  <si>
    <t>YTD Budget</t>
  </si>
  <si>
    <t>month salaries/benefits</t>
  </si>
  <si>
    <t>budget salaries &amp; benefits</t>
  </si>
  <si>
    <t>Variance To Budget</t>
  </si>
  <si>
    <t xml:space="preserve"> Budget/Prior Year</t>
  </si>
  <si>
    <t>Bank Fee/Interest Expense</t>
  </si>
  <si>
    <t>cash be maintained. It changed to 90 effective March 1, 2016.</t>
  </si>
  <si>
    <t>LOANS PAYABLE</t>
  </si>
  <si>
    <t>Loan Activity</t>
  </si>
  <si>
    <t>Limited Mill Levy fund--ANB acct beginning March 2016</t>
  </si>
  <si>
    <t>At EPMC, the Bond Refunding/Loan documents require a minimum level of 90 days</t>
  </si>
  <si>
    <t>June</t>
  </si>
  <si>
    <t>DEPOSITS AND DEFERRED INCOME</t>
  </si>
  <si>
    <t>12 month debt service payments</t>
  </si>
  <si>
    <t>Estes Park Medical Group</t>
  </si>
  <si>
    <t>ROLLING 12 MONTH DEBT SERVICE COVERAGE RATIO</t>
  </si>
  <si>
    <t xml:space="preserve">     Loan #1, 7-1-17 interest pymt</t>
  </si>
  <si>
    <t xml:space="preserve">     Loan #2, 7-1-17 interest pymt</t>
  </si>
  <si>
    <t>Debt Coverage Ratio:</t>
  </si>
  <si>
    <t>Target</t>
  </si>
  <si>
    <t>Cash and Cash Equivalents, 01/01/2017</t>
  </si>
  <si>
    <t>ESTES PARK MEDICAL CENTER, 2017</t>
  </si>
  <si>
    <t xml:space="preserve">     Loan #2, 1-1-17 principal pymt/1-1-18</t>
  </si>
  <si>
    <t xml:space="preserve">    Increase (Decrease) in Deposits and Deferred Income</t>
  </si>
  <si>
    <t>Page 3</t>
  </si>
  <si>
    <t xml:space="preserve">Jul </t>
  </si>
  <si>
    <t xml:space="preserve">Feb </t>
  </si>
  <si>
    <t xml:space="preserve"> Month Ended May 31, 2017</t>
  </si>
  <si>
    <t>Var</t>
  </si>
  <si>
    <t>PRIOR YEAR TO DATE</t>
  </si>
  <si>
    <t>YEAR TO DATE</t>
  </si>
  <si>
    <t>MONTH</t>
  </si>
  <si>
    <t>FY 2017</t>
  </si>
  <si>
    <t>FY 2016</t>
  </si>
  <si>
    <t xml:space="preserve">     Loan #1, 1-1-18 interest pymt</t>
  </si>
  <si>
    <t xml:space="preserve">     Loan #2, 1-1-18 interest pymt</t>
  </si>
  <si>
    <t>June's rolling 12 month ratio is 2.34. The loan end of year minimum required ratio is 1.25.</t>
  </si>
  <si>
    <t xml:space="preserve">IP Days are at 111 compared to 50 in May and 65 in June 2016. </t>
  </si>
  <si>
    <t>EPMG Clinic Visits are at 2194 compared to 2114 in May and 2202 in June 2016.</t>
  </si>
  <si>
    <t>Surgeries are at 33 compared to 34 in May and 40 in June 2016.</t>
  </si>
  <si>
    <t xml:space="preserve">June's Gross Patient Revenue is $8,027,368 compared to a budget level </t>
  </si>
  <si>
    <t xml:space="preserve">of $7,026,367.  </t>
  </si>
  <si>
    <t>YTD Other Revenues are $31,811 over budget.</t>
  </si>
  <si>
    <t xml:space="preserve">Total Operating Expenses in June are $235,863 over budget.  Salaries and </t>
  </si>
  <si>
    <t>benefits are over budget by $30,792.</t>
  </si>
  <si>
    <t xml:space="preserve"> of $604,189.  June's Total Margin is 19.6% compared to a budgeted</t>
  </si>
  <si>
    <t>level of 15.3%.</t>
  </si>
  <si>
    <t>Day's Cash on Hand is at 189 compared to May's level of 191 and June 2016 of 185.</t>
  </si>
  <si>
    <t>1/1/17 through 6/30/17</t>
  </si>
  <si>
    <t>Cash and Cash Equivalents, 6/30/2017</t>
  </si>
  <si>
    <t>Restricted Cash and Cash Equivalents, 6/30/2017</t>
  </si>
  <si>
    <t>Unrestricted Cash and Cash Equivalents, 6/30/2017</t>
  </si>
  <si>
    <t>Month Ended June 30, 2017</t>
  </si>
  <si>
    <t>Day's in A/R is at 63.2 which is more than the industry average of fifty.</t>
  </si>
  <si>
    <t xml:space="preserve">June's Excess Revenues are at $711,285 compared to a budget of </t>
  </si>
  <si>
    <t>Debt Service Coverage Ratio</t>
  </si>
  <si>
    <t>&lt;1.25</t>
  </si>
  <si>
    <t>1.25 - 2.0</t>
  </si>
  <si>
    <t>&gt;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</si>
</sst>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_(&quot;$&quot;* #,##0_);_(&quot;$&quot;* \(#,##0\);_(&quot;$&quot;* &quot;-&quot;??_);_(@_)"/>
    <numFmt numFmtId="170" formatCode="[$-409]mmmm\ d\,\ yyyy;@"/>
    <numFmt numFmtId="171" formatCode="[$-409]mmm\-yy;@"/>
    <numFmt numFmtId="172" formatCode="[$-409]mmmm\-yy;@"/>
    <numFmt numFmtId="173" formatCode="#,##0.0000_);\(#,##0.0000\)"/>
  </numFmts>
  <fonts count="5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/>
      <sz val="10"/>
      <name val="Times New Roman"/>
      <family val="1"/>
    </font>
    <font>
      <u/>
      <sz val="12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b/>
      <sz val="8"/>
      <color indexed="81"/>
      <name val="Tahoma"/>
      <family val="2"/>
    </font>
    <font>
      <sz val="14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0"/>
      <color indexed="12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doubleAccounting"/>
      <sz val="10"/>
      <name val="Times New Roman"/>
      <family val="1"/>
    </font>
    <font>
      <i/>
      <u/>
      <sz val="10"/>
      <name val="Times New Roman"/>
      <family val="1"/>
    </font>
    <font>
      <i/>
      <sz val="10"/>
      <name val="Times New Roman"/>
      <family val="1"/>
    </font>
    <font>
      <i/>
      <u val="doubleAccounting"/>
      <sz val="10"/>
      <name val="Times New Roman"/>
      <family val="1"/>
    </font>
    <font>
      <i/>
      <sz val="8"/>
      <name val="Times New Roman"/>
      <family val="1"/>
    </font>
    <font>
      <sz val="9"/>
      <color indexed="81"/>
      <name val="Tahoma"/>
      <family val="2"/>
    </font>
    <font>
      <sz val="8"/>
      <name val="Arial"/>
      <family val="2"/>
    </font>
    <font>
      <i/>
      <sz val="9"/>
      <name val="Times New Roman"/>
      <family val="1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theme="6" tint="-0.249977111117893"/>
      <name val="Arial"/>
      <family val="2"/>
    </font>
    <font>
      <u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8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4FA44"/>
        <bgColor indexed="64"/>
      </patternFill>
    </fill>
    <fill>
      <patternFill patternType="solid">
        <fgColor rgb="FFFF669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39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9" fontId="1" fillId="0" borderId="0"/>
    <xf numFmtId="9" fontId="2" fillId="0" borderId="0" applyFont="0" applyFill="0" applyBorder="0" applyAlignment="0" applyProtection="0"/>
  </cellStyleXfs>
  <cellXfs count="418">
    <xf numFmtId="39" fontId="0" fillId="0" borderId="0" xfId="0"/>
    <xf numFmtId="39" fontId="5" fillId="0" borderId="0" xfId="0" applyFont="1"/>
    <xf numFmtId="39" fontId="6" fillId="0" borderId="0" xfId="0" applyFont="1"/>
    <xf numFmtId="39" fontId="0" fillId="0" borderId="0" xfId="0" applyBorder="1"/>
    <xf numFmtId="37" fontId="0" fillId="0" borderId="0" xfId="0" applyNumberFormat="1"/>
    <xf numFmtId="37" fontId="0" fillId="0" borderId="1" xfId="0" applyNumberFormat="1" applyBorder="1"/>
    <xf numFmtId="39" fontId="10" fillId="0" borderId="0" xfId="0" applyFont="1"/>
    <xf numFmtId="39" fontId="9" fillId="0" borderId="0" xfId="0" applyFont="1"/>
    <xf numFmtId="39" fontId="10" fillId="0" borderId="0" xfId="0" applyFont="1" applyFill="1"/>
    <xf numFmtId="39" fontId="14" fillId="0" borderId="0" xfId="0" applyFont="1"/>
    <xf numFmtId="41" fontId="10" fillId="0" borderId="0" xfId="0" applyNumberFormat="1" applyFont="1" applyFill="1" applyBorder="1"/>
    <xf numFmtId="41" fontId="10" fillId="0" borderId="3" xfId="0" applyNumberFormat="1" applyFont="1" applyFill="1" applyBorder="1"/>
    <xf numFmtId="39" fontId="15" fillId="0" borderId="0" xfId="0" applyFont="1"/>
    <xf numFmtId="39" fontId="16" fillId="0" borderId="0" xfId="0" applyFont="1"/>
    <xf numFmtId="39" fontId="18" fillId="0" borderId="0" xfId="0" applyFont="1"/>
    <xf numFmtId="39" fontId="19" fillId="0" borderId="0" xfId="0" applyFont="1" applyAlignment="1">
      <alignment horizontal="centerContinuous"/>
    </xf>
    <xf numFmtId="39" fontId="16" fillId="0" borderId="0" xfId="0" applyFont="1" applyAlignment="1">
      <alignment horizontal="centerContinuous"/>
    </xf>
    <xf numFmtId="39" fontId="20" fillId="0" borderId="0" xfId="0" applyFont="1" applyAlignment="1">
      <alignment horizontal="center"/>
    </xf>
    <xf numFmtId="169" fontId="10" fillId="0" borderId="0" xfId="2" applyNumberFormat="1" applyFont="1"/>
    <xf numFmtId="41" fontId="10" fillId="0" borderId="0" xfId="0" applyNumberFormat="1" applyFont="1"/>
    <xf numFmtId="41" fontId="10" fillId="0" borderId="1" xfId="0" applyNumberFormat="1" applyFont="1" applyBorder="1"/>
    <xf numFmtId="41" fontId="10" fillId="0" borderId="0" xfId="0" applyNumberFormat="1" applyFont="1" applyBorder="1"/>
    <xf numFmtId="41" fontId="10" fillId="0" borderId="0" xfId="0" applyNumberFormat="1" applyFont="1" applyFill="1"/>
    <xf numFmtId="169" fontId="10" fillId="0" borderId="4" xfId="2" applyNumberFormat="1" applyFont="1" applyBorder="1"/>
    <xf numFmtId="41" fontId="13" fillId="0" borderId="0" xfId="0" applyNumberFormat="1" applyFont="1" applyBorder="1"/>
    <xf numFmtId="169" fontId="13" fillId="0" borderId="2" xfId="2" applyNumberFormat="1" applyFont="1" applyBorder="1"/>
    <xf numFmtId="39" fontId="12" fillId="0" borderId="0" xfId="0" applyFont="1"/>
    <xf numFmtId="39" fontId="13" fillId="0" borderId="0" xfId="0" applyFont="1"/>
    <xf numFmtId="41" fontId="13" fillId="0" borderId="0" xfId="0" applyNumberFormat="1" applyFont="1"/>
    <xf numFmtId="39" fontId="9" fillId="0" borderId="0" xfId="0" applyFont="1" applyAlignment="1">
      <alignment horizontal="center"/>
    </xf>
    <xf numFmtId="165" fontId="16" fillId="0" borderId="0" xfId="0" applyNumberFormat="1" applyFont="1"/>
    <xf numFmtId="168" fontId="0" fillId="0" borderId="0" xfId="1" applyNumberFormat="1" applyFont="1"/>
    <xf numFmtId="39" fontId="15" fillId="0" borderId="0" xfId="0" applyFont="1" applyAlignment="1">
      <alignment horizontal="center"/>
    </xf>
    <xf numFmtId="39" fontId="0" fillId="0" borderId="0" xfId="0" applyAlignment="1">
      <alignment horizontal="center"/>
    </xf>
    <xf numFmtId="168" fontId="10" fillId="0" borderId="0" xfId="1" applyNumberFormat="1" applyFont="1"/>
    <xf numFmtId="168" fontId="15" fillId="0" borderId="0" xfId="1" applyNumberFormat="1" applyFont="1" applyAlignment="1">
      <alignment horizontal="right"/>
    </xf>
    <xf numFmtId="39" fontId="15" fillId="0" borderId="0" xfId="0" applyFont="1" applyAlignment="1">
      <alignment horizontal="right"/>
    </xf>
    <xf numFmtId="39" fontId="10" fillId="0" borderId="0" xfId="0" applyFont="1" applyAlignment="1">
      <alignment horizontal="centerContinuous"/>
    </xf>
    <xf numFmtId="39" fontId="14" fillId="0" borderId="0" xfId="0" applyFont="1" applyAlignment="1">
      <alignment horizontal="right"/>
    </xf>
    <xf numFmtId="167" fontId="9" fillId="2" borderId="5" xfId="1" applyNumberFormat="1" applyFont="1" applyFill="1" applyBorder="1"/>
    <xf numFmtId="39" fontId="15" fillId="0" borderId="0" xfId="0" applyFont="1" applyFill="1"/>
    <xf numFmtId="39" fontId="9" fillId="0" borderId="0" xfId="0" applyFont="1" applyAlignment="1">
      <alignment horizontal="right"/>
    </xf>
    <xf numFmtId="168" fontId="9" fillId="0" borderId="0" xfId="1" applyNumberFormat="1" applyFont="1" applyAlignment="1">
      <alignment horizontal="right"/>
    </xf>
    <xf numFmtId="167" fontId="10" fillId="0" borderId="0" xfId="1" applyNumberFormat="1" applyFont="1" applyFill="1"/>
    <xf numFmtId="39" fontId="1" fillId="0" borderId="0" xfId="0" applyFont="1"/>
    <xf numFmtId="37" fontId="16" fillId="0" borderId="0" xfId="0" applyNumberFormat="1" applyFont="1" applyBorder="1"/>
    <xf numFmtId="39" fontId="0" fillId="0" borderId="6" xfId="0" applyBorder="1"/>
    <xf numFmtId="1" fontId="0" fillId="0" borderId="0" xfId="0" applyNumberFormat="1"/>
    <xf numFmtId="39" fontId="15" fillId="3" borderId="0" xfId="0" applyFont="1" applyFill="1"/>
    <xf numFmtId="39" fontId="15" fillId="3" borderId="0" xfId="0" applyFont="1" applyFill="1" applyAlignment="1">
      <alignment horizontal="right"/>
    </xf>
    <xf numFmtId="167" fontId="10" fillId="3" borderId="0" xfId="1" applyNumberFormat="1" applyFont="1" applyFill="1"/>
    <xf numFmtId="39" fontId="16" fillId="0" borderId="7" xfId="0" applyFont="1" applyBorder="1"/>
    <xf numFmtId="39" fontId="0" fillId="0" borderId="1" xfId="0" applyBorder="1"/>
    <xf numFmtId="37" fontId="16" fillId="0" borderId="8" xfId="0" applyNumberFormat="1" applyFont="1" applyBorder="1"/>
    <xf numFmtId="171" fontId="10" fillId="2" borderId="5" xfId="0" applyNumberFormat="1" applyFont="1" applyFill="1" applyBorder="1" applyAlignment="1">
      <alignment horizontal="center"/>
    </xf>
    <xf numFmtId="39" fontId="20" fillId="0" borderId="0" xfId="0" applyFont="1" applyAlignment="1">
      <alignment horizontal="centerContinuous"/>
    </xf>
    <xf numFmtId="171" fontId="0" fillId="0" borderId="0" xfId="0" applyNumberFormat="1"/>
    <xf numFmtId="171" fontId="10" fillId="0" borderId="0" xfId="0" applyNumberFormat="1" applyFont="1" applyFill="1" applyBorder="1" applyAlignment="1">
      <alignment horizontal="center"/>
    </xf>
    <xf numFmtId="171" fontId="10" fillId="3" borderId="0" xfId="0" applyNumberFormat="1" applyFont="1" applyFill="1" applyBorder="1" applyAlignment="1">
      <alignment horizontal="center"/>
    </xf>
    <xf numFmtId="0" fontId="16" fillId="0" borderId="7" xfId="0" applyNumberFormat="1" applyFont="1" applyBorder="1"/>
    <xf numFmtId="171" fontId="19" fillId="0" borderId="0" xfId="0" applyNumberFormat="1" applyFont="1" applyBorder="1" applyAlignment="1">
      <alignment horizontal="center"/>
    </xf>
    <xf numFmtId="171" fontId="19" fillId="0" borderId="8" xfId="0" applyNumberFormat="1" applyFont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39" fontId="15" fillId="0" borderId="0" xfId="3" applyFont="1"/>
    <xf numFmtId="39" fontId="25" fillId="0" borderId="0" xfId="0" applyFont="1"/>
    <xf numFmtId="39" fontId="26" fillId="0" borderId="0" xfId="0" applyFont="1"/>
    <xf numFmtId="39" fontId="7" fillId="0" borderId="0" xfId="3" quotePrefix="1" applyFont="1" applyAlignment="1" applyProtection="1">
      <alignment horizontal="center"/>
    </xf>
    <xf numFmtId="39" fontId="16" fillId="0" borderId="0" xfId="3" applyFont="1"/>
    <xf numFmtId="39" fontId="10" fillId="0" borderId="0" xfId="3" applyFont="1"/>
    <xf numFmtId="39" fontId="9" fillId="0" borderId="0" xfId="3" applyFont="1"/>
    <xf numFmtId="39" fontId="27" fillId="0" borderId="0" xfId="3" applyFont="1" applyBorder="1"/>
    <xf numFmtId="39" fontId="9" fillId="0" borderId="0" xfId="3" applyFont="1" applyBorder="1"/>
    <xf numFmtId="39" fontId="9" fillId="0" borderId="5" xfId="3" applyFont="1" applyBorder="1" applyAlignment="1">
      <alignment horizontal="center" wrapText="1"/>
    </xf>
    <xf numFmtId="168" fontId="10" fillId="0" borderId="5" xfId="1" applyNumberFormat="1" applyFont="1" applyFill="1" applyBorder="1" applyAlignment="1">
      <alignment horizontal="right"/>
    </xf>
    <xf numFmtId="168" fontId="10" fillId="0" borderId="5" xfId="1" applyNumberFormat="1" applyFont="1" applyBorder="1" applyAlignment="1">
      <alignment horizontal="right"/>
    </xf>
    <xf numFmtId="164" fontId="10" fillId="0" borderId="5" xfId="4" applyNumberFormat="1" applyFont="1" applyBorder="1"/>
    <xf numFmtId="39" fontId="10" fillId="0" borderId="0" xfId="3" applyFont="1" applyFill="1"/>
    <xf numFmtId="168" fontId="10" fillId="0" borderId="0" xfId="1" applyNumberFormat="1" applyFont="1" applyFill="1" applyBorder="1" applyAlignment="1">
      <alignment horizontal="right"/>
    </xf>
    <xf numFmtId="168" fontId="10" fillId="0" borderId="0" xfId="1" applyNumberFormat="1" applyFont="1" applyBorder="1" applyAlignment="1">
      <alignment horizontal="right"/>
    </xf>
    <xf numFmtId="164" fontId="10" fillId="0" borderId="0" xfId="4" applyNumberFormat="1" applyFont="1" applyBorder="1"/>
    <xf numFmtId="39" fontId="9" fillId="0" borderId="5" xfId="3" applyFont="1" applyBorder="1" applyAlignment="1">
      <alignment horizontal="center"/>
    </xf>
    <xf numFmtId="17" fontId="9" fillId="0" borderId="5" xfId="3" applyNumberFormat="1" applyFont="1" applyBorder="1" applyAlignment="1">
      <alignment horizontal="center"/>
    </xf>
    <xf numFmtId="169" fontId="10" fillId="0" borderId="5" xfId="2" applyNumberFormat="1" applyFont="1" applyFill="1" applyBorder="1" applyAlignment="1">
      <alignment horizontal="right"/>
    </xf>
    <xf numFmtId="168" fontId="10" fillId="0" borderId="5" xfId="1" applyNumberFormat="1" applyFont="1" applyFill="1" applyBorder="1"/>
    <xf numFmtId="168" fontId="16" fillId="0" borderId="0" xfId="3" applyNumberFormat="1" applyFont="1"/>
    <xf numFmtId="39" fontId="10" fillId="0" borderId="0" xfId="3" applyFont="1" applyBorder="1"/>
    <xf numFmtId="168" fontId="10" fillId="0" borderId="5" xfId="1" applyNumberFormat="1" applyFont="1" applyBorder="1"/>
    <xf numFmtId="39" fontId="17" fillId="0" borderId="0" xfId="3" applyFont="1"/>
    <xf numFmtId="169" fontId="10" fillId="0" borderId="0" xfId="2" applyNumberFormat="1" applyFont="1" applyFill="1" applyBorder="1" applyAlignment="1">
      <alignment horizontal="right"/>
    </xf>
    <xf numFmtId="169" fontId="10" fillId="0" borderId="0" xfId="2" applyNumberFormat="1" applyFont="1" applyBorder="1" applyAlignment="1">
      <alignment horizontal="right"/>
    </xf>
    <xf numFmtId="164" fontId="10" fillId="0" borderId="0" xfId="1" applyNumberFormat="1" applyFont="1" applyFill="1" applyBorder="1"/>
    <xf numFmtId="17" fontId="9" fillId="0" borderId="0" xfId="3" quotePrefix="1" applyNumberFormat="1" applyFont="1" applyBorder="1" applyAlignment="1"/>
    <xf numFmtId="39" fontId="28" fillId="0" borderId="0" xfId="0" applyFont="1"/>
    <xf numFmtId="39" fontId="9" fillId="0" borderId="0" xfId="3" applyFont="1" applyBorder="1" applyAlignment="1">
      <alignment horizontal="right"/>
    </xf>
    <xf numFmtId="39" fontId="9" fillId="0" borderId="0" xfId="3" applyFont="1" applyBorder="1" applyAlignment="1">
      <alignment horizontal="center"/>
    </xf>
    <xf numFmtId="43" fontId="0" fillId="0" borderId="0" xfId="0" applyNumberFormat="1"/>
    <xf numFmtId="171" fontId="0" fillId="0" borderId="0" xfId="0" applyNumberFormat="1" applyFill="1" applyBorder="1" applyAlignment="1">
      <alignment horizontal="center"/>
    </xf>
    <xf numFmtId="39" fontId="9" fillId="0" borderId="0" xfId="0" applyFont="1" applyAlignment="1">
      <alignment horizontal="left"/>
    </xf>
    <xf numFmtId="39" fontId="29" fillId="0" borderId="0" xfId="0" applyFont="1" applyAlignment="1"/>
    <xf numFmtId="39" fontId="15" fillId="0" borderId="0" xfId="0" applyFont="1" applyAlignment="1"/>
    <xf numFmtId="39" fontId="30" fillId="0" borderId="0" xfId="0" applyFont="1"/>
    <xf numFmtId="39" fontId="16" fillId="0" borderId="11" xfId="0" applyFont="1" applyBorder="1"/>
    <xf numFmtId="39" fontId="16" fillId="0" borderId="9" xfId="0" applyFont="1" applyBorder="1"/>
    <xf numFmtId="39" fontId="16" fillId="0" borderId="12" xfId="0" applyFont="1" applyBorder="1"/>
    <xf numFmtId="39" fontId="16" fillId="0" borderId="13" xfId="0" applyFont="1" applyBorder="1"/>
    <xf numFmtId="39" fontId="3" fillId="0" borderId="0" xfId="0" applyFont="1" applyAlignment="1">
      <alignment horizontal="center"/>
    </xf>
    <xf numFmtId="39" fontId="16" fillId="0" borderId="0" xfId="0" applyFont="1" applyBorder="1"/>
    <xf numFmtId="39" fontId="21" fillId="0" borderId="0" xfId="0" applyFont="1" applyAlignment="1" applyProtection="1">
      <alignment horizontal="centerContinuous"/>
    </xf>
    <xf numFmtId="39" fontId="12" fillId="0" borderId="0" xfId="0" applyFont="1" applyAlignment="1" applyProtection="1">
      <alignment horizontal="right"/>
    </xf>
    <xf numFmtId="39" fontId="12" fillId="0" borderId="0" xfId="0" applyFont="1" applyProtection="1"/>
    <xf numFmtId="37" fontId="11" fillId="0" borderId="16" xfId="0" applyNumberFormat="1" applyFont="1" applyFill="1" applyBorder="1" applyProtection="1"/>
    <xf numFmtId="37" fontId="11" fillId="0" borderId="0" xfId="0" applyNumberFormat="1" applyFont="1" applyFill="1" applyBorder="1" applyProtection="1"/>
    <xf numFmtId="37" fontId="9" fillId="0" borderId="16" xfId="0" applyNumberFormat="1" applyFont="1" applyFill="1" applyBorder="1" applyProtection="1"/>
    <xf numFmtId="37" fontId="9" fillId="0" borderId="0" xfId="0" applyNumberFormat="1" applyFont="1" applyFill="1" applyBorder="1" applyProtection="1"/>
    <xf numFmtId="39" fontId="3" fillId="0" borderId="0" xfId="0" applyFont="1" applyAlignment="1">
      <alignment horizontal="centerContinuous"/>
    </xf>
    <xf numFmtId="37" fontId="10" fillId="0" borderId="16" xfId="0" applyNumberFormat="1" applyFont="1" applyFill="1" applyBorder="1" applyProtection="1"/>
    <xf numFmtId="37" fontId="10" fillId="0" borderId="0" xfId="0" applyNumberFormat="1" applyFont="1" applyFill="1" applyBorder="1" applyProtection="1"/>
    <xf numFmtId="37" fontId="20" fillId="0" borderId="16" xfId="0" applyNumberFormat="1" applyFont="1" applyFill="1" applyBorder="1" applyProtection="1"/>
    <xf numFmtId="37" fontId="20" fillId="0" borderId="0" xfId="0" applyNumberFormat="1" applyFont="1" applyFill="1" applyBorder="1" applyProtection="1"/>
    <xf numFmtId="39" fontId="3" fillId="0" borderId="0" xfId="0" applyFont="1" applyAlignment="1"/>
    <xf numFmtId="37" fontId="9" fillId="0" borderId="5" xfId="0" applyNumberFormat="1" applyFont="1" applyBorder="1" applyAlignment="1">
      <alignment horizontal="center"/>
    </xf>
    <xf numFmtId="39" fontId="9" fillId="0" borderId="5" xfId="0" applyFont="1" applyFill="1" applyBorder="1" applyAlignment="1">
      <alignment horizontal="center"/>
    </xf>
    <xf numFmtId="39" fontId="9" fillId="0" borderId="5" xfId="0" applyFont="1" applyBorder="1" applyAlignment="1">
      <alignment horizontal="center"/>
    </xf>
    <xf numFmtId="39" fontId="9" fillId="0" borderId="0" xfId="0" applyFont="1" applyFill="1" applyAlignment="1">
      <alignment horizontal="right"/>
    </xf>
    <xf numFmtId="39" fontId="9" fillId="0" borderId="0" xfId="0" applyFont="1" applyFill="1"/>
    <xf numFmtId="39" fontId="3" fillId="0" borderId="0" xfId="0" applyFont="1" applyBorder="1" applyAlignment="1">
      <alignment horizontal="center"/>
    </xf>
    <xf numFmtId="39" fontId="10" fillId="0" borderId="0" xfId="0" applyFont="1" applyAlignment="1">
      <alignment horizontal="left"/>
    </xf>
    <xf numFmtId="39" fontId="10" fillId="0" borderId="0" xfId="0" applyFont="1" applyAlignment="1">
      <alignment horizontal="right"/>
    </xf>
    <xf numFmtId="171" fontId="16" fillId="0" borderId="0" xfId="0" applyNumberFormat="1" applyFont="1" applyFill="1"/>
    <xf numFmtId="37" fontId="16" fillId="0" borderId="0" xfId="0" applyNumberFormat="1" applyFont="1" applyFill="1"/>
    <xf numFmtId="37" fontId="16" fillId="0" borderId="1" xfId="0" applyNumberFormat="1" applyFont="1" applyFill="1" applyBorder="1"/>
    <xf numFmtId="168" fontId="31" fillId="0" borderId="0" xfId="1" applyNumberFormat="1" applyFont="1" applyFill="1" applyBorder="1"/>
    <xf numFmtId="39" fontId="16" fillId="0" borderId="0" xfId="0" applyFont="1" applyFill="1"/>
    <xf numFmtId="37" fontId="16" fillId="0" borderId="0" xfId="0" applyNumberFormat="1" applyFont="1"/>
    <xf numFmtId="39" fontId="19" fillId="0" borderId="0" xfId="0" applyFont="1"/>
    <xf numFmtId="169" fontId="16" fillId="0" borderId="0" xfId="2" applyNumberFormat="1" applyFont="1"/>
    <xf numFmtId="37" fontId="19" fillId="0" borderId="0" xfId="0" applyNumberFormat="1" applyFont="1"/>
    <xf numFmtId="39" fontId="17" fillId="0" borderId="0" xfId="0" applyFont="1" applyAlignment="1">
      <alignment horizontal="right"/>
    </xf>
    <xf numFmtId="5" fontId="9" fillId="0" borderId="5" xfId="0" applyNumberFormat="1" applyFont="1" applyFill="1" applyBorder="1" applyAlignment="1">
      <alignment horizontal="center"/>
    </xf>
    <xf numFmtId="39" fontId="3" fillId="0" borderId="0" xfId="0" applyFont="1" applyFill="1" applyAlignment="1">
      <alignment horizontal="right"/>
    </xf>
    <xf numFmtId="164" fontId="9" fillId="0" borderId="5" xfId="0" applyNumberFormat="1" applyFont="1" applyFill="1" applyBorder="1" applyAlignment="1">
      <alignment horizontal="center"/>
    </xf>
    <xf numFmtId="39" fontId="10" fillId="0" borderId="0" xfId="0" applyFont="1" applyFill="1" applyAlignment="1">
      <alignment horizontal="left"/>
    </xf>
    <xf numFmtId="39" fontId="10" fillId="0" borderId="0" xfId="0" applyFont="1" applyFill="1" applyAlignment="1">
      <alignment horizontal="right"/>
    </xf>
    <xf numFmtId="37" fontId="9" fillId="0" borderId="5" xfId="0" applyNumberFormat="1" applyFont="1" applyFill="1" applyBorder="1" applyAlignment="1">
      <alignment horizontal="center"/>
    </xf>
    <xf numFmtId="168" fontId="0" fillId="0" borderId="1" xfId="1" applyNumberFormat="1" applyFont="1" applyFill="1" applyBorder="1"/>
    <xf numFmtId="37" fontId="19" fillId="0" borderId="0" xfId="0" applyNumberFormat="1" applyFont="1" applyFill="1"/>
    <xf numFmtId="169" fontId="35" fillId="0" borderId="0" xfId="2" applyNumberFormat="1" applyFont="1" applyFill="1"/>
    <xf numFmtId="164" fontId="39" fillId="0" borderId="0" xfId="4" applyNumberFormat="1" applyFont="1" applyBorder="1"/>
    <xf numFmtId="37" fontId="16" fillId="0" borderId="0" xfId="0" applyNumberFormat="1" applyFont="1" applyFill="1" applyBorder="1"/>
    <xf numFmtId="164" fontId="9" fillId="0" borderId="0" xfId="4" applyNumberFormat="1" applyFont="1"/>
    <xf numFmtId="164" fontId="3" fillId="0" borderId="0" xfId="4" applyNumberFormat="1" applyFont="1" applyBorder="1" applyAlignment="1">
      <alignment horizontal="left"/>
    </xf>
    <xf numFmtId="166" fontId="16" fillId="0" borderId="0" xfId="3" applyNumberFormat="1" applyFont="1"/>
    <xf numFmtId="39" fontId="16" fillId="0" borderId="21" xfId="0" applyFont="1" applyBorder="1"/>
    <xf numFmtId="37" fontId="0" fillId="0" borderId="6" xfId="0" applyNumberFormat="1" applyBorder="1"/>
    <xf numFmtId="37" fontId="16" fillId="3" borderId="0" xfId="0" applyNumberFormat="1" applyFont="1" applyFill="1"/>
    <xf numFmtId="37" fontId="16" fillId="3" borderId="1" xfId="0" applyNumberFormat="1" applyFont="1" applyFill="1" applyBorder="1"/>
    <xf numFmtId="168" fontId="0" fillId="0" borderId="0" xfId="1" applyNumberFormat="1" applyFont="1" applyFill="1"/>
    <xf numFmtId="43" fontId="0" fillId="0" borderId="0" xfId="1" applyNumberFormat="1" applyFont="1" applyFill="1"/>
    <xf numFmtId="167" fontId="0" fillId="0" borderId="0" xfId="1" applyNumberFormat="1" applyFont="1" applyFill="1"/>
    <xf numFmtId="37" fontId="16" fillId="0" borderId="8" xfId="0" applyNumberFormat="1" applyFont="1" applyFill="1" applyBorder="1"/>
    <xf numFmtId="39" fontId="10" fillId="0" borderId="0" xfId="0" applyFont="1" applyFill="1" applyBorder="1" applyAlignment="1">
      <alignment horizontal="left"/>
    </xf>
    <xf numFmtId="173" fontId="16" fillId="0" borderId="0" xfId="0" applyNumberFormat="1" applyFont="1" applyFill="1"/>
    <xf numFmtId="171" fontId="16" fillId="0" borderId="0" xfId="0" applyNumberFormat="1" applyFont="1" applyFill="1" applyAlignment="1">
      <alignment horizontal="center"/>
    </xf>
    <xf numFmtId="37" fontId="16" fillId="0" borderId="1" xfId="0" quotePrefix="1" applyNumberFormat="1" applyFont="1" applyFill="1" applyBorder="1"/>
    <xf numFmtId="168" fontId="31" fillId="0" borderId="0" xfId="1" quotePrefix="1" applyNumberFormat="1" applyFont="1" applyFill="1" applyBorder="1"/>
    <xf numFmtId="39" fontId="0" fillId="0" borderId="0" xfId="0" applyFill="1"/>
    <xf numFmtId="49" fontId="0" fillId="0" borderId="0" xfId="0" applyNumberFormat="1"/>
    <xf numFmtId="164" fontId="42" fillId="0" borderId="0" xfId="4" applyNumberFormat="1" applyFont="1"/>
    <xf numFmtId="41" fontId="10" fillId="0" borderId="1" xfId="0" applyNumberFormat="1" applyFont="1" applyFill="1" applyBorder="1"/>
    <xf numFmtId="37" fontId="1" fillId="0" borderId="0" xfId="0" applyNumberFormat="1" applyFont="1" applyBorder="1"/>
    <xf numFmtId="37" fontId="0" fillId="0" borderId="9" xfId="0" applyNumberFormat="1" applyBorder="1"/>
    <xf numFmtId="167" fontId="0" fillId="0" borderId="0" xfId="1" applyNumberFormat="1" applyFont="1"/>
    <xf numFmtId="168" fontId="16" fillId="0" borderId="0" xfId="1" applyNumberFormat="1" applyFont="1" applyBorder="1"/>
    <xf numFmtId="168" fontId="16" fillId="0" borderId="0" xfId="1" applyNumberFormat="1" applyFont="1"/>
    <xf numFmtId="43" fontId="16" fillId="0" borderId="0" xfId="1" applyNumberFormat="1" applyFont="1"/>
    <xf numFmtId="37" fontId="0" fillId="0" borderId="0" xfId="0" applyNumberFormat="1" applyBorder="1"/>
    <xf numFmtId="171" fontId="45" fillId="0" borderId="0" xfId="0" applyNumberFormat="1" applyFont="1" applyFill="1" applyBorder="1" applyAlignment="1">
      <alignment horizontal="center"/>
    </xf>
    <xf numFmtId="37" fontId="45" fillId="0" borderId="0" xfId="0" applyNumberFormat="1" applyFont="1"/>
    <xf numFmtId="37" fontId="45" fillId="0" borderId="0" xfId="0" applyNumberFormat="1" applyFont="1" applyBorder="1"/>
    <xf numFmtId="37" fontId="45" fillId="0" borderId="9" xfId="0" applyNumberFormat="1" applyFont="1" applyBorder="1"/>
    <xf numFmtId="39" fontId="45" fillId="0" borderId="0" xfId="0" applyFont="1" applyBorder="1"/>
    <xf numFmtId="39" fontId="45" fillId="0" borderId="6" xfId="0" applyFont="1" applyBorder="1"/>
    <xf numFmtId="1" fontId="45" fillId="0" borderId="0" xfId="0" applyNumberFormat="1" applyFont="1"/>
    <xf numFmtId="2" fontId="44" fillId="0" borderId="0" xfId="0" applyNumberFormat="1" applyFont="1"/>
    <xf numFmtId="39" fontId="45" fillId="0" borderId="0" xfId="0" applyFont="1"/>
    <xf numFmtId="37" fontId="0" fillId="0" borderId="0" xfId="0" applyNumberFormat="1" applyFill="1" applyBorder="1"/>
    <xf numFmtId="37" fontId="44" fillId="0" borderId="0" xfId="0" applyNumberFormat="1" applyFont="1" applyFill="1" applyBorder="1"/>
    <xf numFmtId="1" fontId="1" fillId="0" borderId="0" xfId="0" applyNumberFormat="1" applyFont="1"/>
    <xf numFmtId="39" fontId="9" fillId="5" borderId="5" xfId="0" applyFont="1" applyFill="1" applyBorder="1" applyAlignment="1">
      <alignment horizontal="center"/>
    </xf>
    <xf numFmtId="37" fontId="9" fillId="5" borderId="5" xfId="0" applyNumberFormat="1" applyFont="1" applyFill="1" applyBorder="1" applyAlignment="1">
      <alignment horizontal="center"/>
    </xf>
    <xf numFmtId="39" fontId="9" fillId="6" borderId="5" xfId="0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2" fontId="1" fillId="0" borderId="0" xfId="0" applyNumberFormat="1" applyFont="1" applyAlignment="1">
      <alignment horizontal="center"/>
    </xf>
    <xf numFmtId="169" fontId="16" fillId="0" borderId="0" xfId="2" applyNumberFormat="1" applyFont="1" applyBorder="1"/>
    <xf numFmtId="37" fontId="19" fillId="0" borderId="0" xfId="0" applyNumberFormat="1" applyFont="1" applyBorder="1"/>
    <xf numFmtId="10" fontId="16" fillId="0" borderId="0" xfId="4" applyNumberFormat="1" applyFont="1"/>
    <xf numFmtId="39" fontId="0" fillId="0" borderId="0" xfId="0" applyFill="1" applyBorder="1"/>
    <xf numFmtId="39" fontId="16" fillId="0" borderId="0" xfId="0" applyFont="1" applyFill="1" applyBorder="1" applyAlignment="1">
      <alignment horizontal="centerContinuous"/>
    </xf>
    <xf numFmtId="0" fontId="37" fillId="0" borderId="0" xfId="0" applyNumberFormat="1" applyFont="1" applyFill="1" applyBorder="1" applyAlignment="1">
      <alignment horizontal="center"/>
    </xf>
    <xf numFmtId="39" fontId="36" fillId="0" borderId="0" xfId="0" applyFont="1" applyFill="1" applyBorder="1" applyAlignment="1">
      <alignment horizontal="center"/>
    </xf>
    <xf numFmtId="39" fontId="37" fillId="0" borderId="0" xfId="0" applyFont="1" applyFill="1" applyBorder="1"/>
    <xf numFmtId="169" fontId="37" fillId="0" borderId="0" xfId="2" applyNumberFormat="1" applyFont="1" applyFill="1" applyBorder="1"/>
    <xf numFmtId="37" fontId="37" fillId="0" borderId="0" xfId="0" applyNumberFormat="1" applyFont="1" applyFill="1" applyBorder="1"/>
    <xf numFmtId="37" fontId="36" fillId="0" borderId="0" xfId="0" applyNumberFormat="1" applyFont="1" applyFill="1" applyBorder="1"/>
    <xf numFmtId="169" fontId="38" fillId="0" borderId="0" xfId="2" applyNumberFormat="1" applyFont="1" applyFill="1" applyBorder="1"/>
    <xf numFmtId="164" fontId="39" fillId="0" borderId="0" xfId="4" applyNumberFormat="1" applyFont="1" applyFill="1" applyBorder="1"/>
    <xf numFmtId="39" fontId="17" fillId="0" borderId="0" xfId="0" applyFont="1" applyFill="1" applyAlignment="1">
      <alignment horizontal="right"/>
    </xf>
    <xf numFmtId="39" fontId="16" fillId="0" borderId="0" xfId="0" applyFont="1" applyFill="1" applyBorder="1"/>
    <xf numFmtId="37" fontId="16" fillId="0" borderId="1" xfId="0" applyNumberFormat="1" applyFont="1" applyBorder="1"/>
    <xf numFmtId="37" fontId="16" fillId="0" borderId="14" xfId="0" applyNumberFormat="1" applyFont="1" applyBorder="1"/>
    <xf numFmtId="39" fontId="16" fillId="0" borderId="0" xfId="0" applyFont="1" applyAlignment="1">
      <alignment horizontal="left"/>
    </xf>
    <xf numFmtId="0" fontId="16" fillId="0" borderId="0" xfId="0" applyNumberFormat="1" applyFont="1" applyBorder="1" applyAlignment="1">
      <alignment horizontal="center"/>
    </xf>
    <xf numFmtId="39" fontId="19" fillId="0" borderId="0" xfId="0" applyFont="1" applyBorder="1" applyAlignment="1">
      <alignment horizontal="center"/>
    </xf>
    <xf numFmtId="164" fontId="16" fillId="0" borderId="0" xfId="4" applyNumberFormat="1" applyFont="1" applyBorder="1"/>
    <xf numFmtId="10" fontId="39" fillId="0" borderId="0" xfId="4" applyNumberFormat="1" applyFont="1" applyBorder="1"/>
    <xf numFmtId="0" fontId="45" fillId="0" borderId="0" xfId="0" applyNumberFormat="1" applyFont="1"/>
    <xf numFmtId="39" fontId="16" fillId="0" borderId="0" xfId="0" applyFont="1" applyAlignment="1">
      <alignment horizontal="right"/>
    </xf>
    <xf numFmtId="39" fontId="16" fillId="0" borderId="0" xfId="0" applyFont="1" applyAlignment="1">
      <alignment horizontal="left"/>
    </xf>
    <xf numFmtId="37" fontId="16" fillId="0" borderId="0" xfId="2" applyNumberFormat="1" applyFont="1"/>
    <xf numFmtId="37" fontId="16" fillId="0" borderId="0" xfId="0" applyNumberFormat="1" applyFont="1" applyAlignment="1">
      <alignment horizontal="left"/>
    </xf>
    <xf numFmtId="37" fontId="16" fillId="0" borderId="0" xfId="4" applyNumberFormat="1" applyFont="1"/>
    <xf numFmtId="37" fontId="39" fillId="0" borderId="0" xfId="4" applyNumberFormat="1" applyFont="1" applyBorder="1"/>
    <xf numFmtId="39" fontId="9" fillId="0" borderId="10" xfId="3" applyFont="1" applyBorder="1" applyAlignment="1">
      <alignment horizontal="center" wrapText="1"/>
    </xf>
    <xf numFmtId="169" fontId="13" fillId="0" borderId="0" xfId="2" applyNumberFormat="1" applyFont="1" applyFill="1" applyBorder="1" applyProtection="1"/>
    <xf numFmtId="37" fontId="32" fillId="0" borderId="0" xfId="0" applyNumberFormat="1" applyFont="1" applyFill="1" applyBorder="1" applyProtection="1"/>
    <xf numFmtId="37" fontId="13" fillId="0" borderId="0" xfId="0" applyNumberFormat="1" applyFont="1" applyFill="1" applyBorder="1" applyProtection="1"/>
    <xf numFmtId="37" fontId="46" fillId="0" borderId="0" xfId="0" applyNumberFormat="1" applyFont="1" applyFill="1"/>
    <xf numFmtId="37" fontId="46" fillId="0" borderId="0" xfId="0" applyNumberFormat="1" applyFont="1"/>
    <xf numFmtId="37" fontId="44" fillId="0" borderId="0" xfId="0" applyNumberFormat="1" applyFont="1"/>
    <xf numFmtId="37" fontId="47" fillId="0" borderId="0" xfId="0" applyNumberFormat="1" applyFont="1" applyBorder="1"/>
    <xf numFmtId="39" fontId="44" fillId="0" borderId="0" xfId="0" applyFont="1"/>
    <xf numFmtId="39" fontId="47" fillId="0" borderId="0" xfId="0" applyFont="1"/>
    <xf numFmtId="164" fontId="10" fillId="0" borderId="5" xfId="4" applyNumberFormat="1" applyFont="1" applyBorder="1" applyAlignment="1">
      <alignment horizontal="center"/>
    </xf>
    <xf numFmtId="39" fontId="10" fillId="0" borderId="0" xfId="3" applyFont="1" applyAlignment="1">
      <alignment horizontal="center"/>
    </xf>
    <xf numFmtId="164" fontId="10" fillId="0" borderId="5" xfId="4" applyNumberFormat="1" applyFont="1" applyFill="1" applyBorder="1" applyAlignment="1">
      <alignment horizontal="center"/>
    </xf>
    <xf numFmtId="1" fontId="10" fillId="0" borderId="5" xfId="1" applyNumberFormat="1" applyFont="1" applyBorder="1" applyAlignment="1">
      <alignment horizontal="center"/>
    </xf>
    <xf numFmtId="1" fontId="10" fillId="0" borderId="5" xfId="1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1" fontId="10" fillId="0" borderId="0" xfId="3" applyNumberFormat="1" applyFont="1" applyAlignment="1">
      <alignment horizontal="center"/>
    </xf>
    <xf numFmtId="164" fontId="10" fillId="0" borderId="23" xfId="4" applyNumberFormat="1" applyFont="1" applyBorder="1" applyAlignment="1">
      <alignment horizontal="center"/>
    </xf>
    <xf numFmtId="164" fontId="10" fillId="0" borderId="23" xfId="4" applyNumberFormat="1" applyFont="1" applyFill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64" fontId="48" fillId="0" borderId="0" xfId="4" applyNumberFormat="1" applyFont="1" applyBorder="1"/>
    <xf numFmtId="10" fontId="47" fillId="0" borderId="0" xfId="4" applyNumberFormat="1" applyFont="1"/>
    <xf numFmtId="164" fontId="49" fillId="0" borderId="0" xfId="4" applyNumberFormat="1" applyFont="1"/>
    <xf numFmtId="39" fontId="0" fillId="8" borderId="0" xfId="0" applyFill="1"/>
    <xf numFmtId="171" fontId="45" fillId="8" borderId="0" xfId="0" applyNumberFormat="1" applyFont="1" applyFill="1" applyBorder="1" applyAlignment="1">
      <alignment horizontal="center"/>
    </xf>
    <xf numFmtId="37" fontId="45" fillId="8" borderId="0" xfId="0" applyNumberFormat="1" applyFont="1" applyFill="1"/>
    <xf numFmtId="37" fontId="45" fillId="8" borderId="0" xfId="0" applyNumberFormat="1" applyFont="1" applyFill="1" applyBorder="1"/>
    <xf numFmtId="39" fontId="45" fillId="8" borderId="0" xfId="0" applyFont="1" applyFill="1" applyBorder="1"/>
    <xf numFmtId="1" fontId="45" fillId="8" borderId="0" xfId="0" applyNumberFormat="1" applyFont="1" applyFill="1"/>
    <xf numFmtId="0" fontId="45" fillId="8" borderId="0" xfId="0" applyNumberFormat="1" applyFont="1" applyFill="1"/>
    <xf numFmtId="39" fontId="45" fillId="8" borderId="0" xfId="0" applyFont="1" applyFill="1"/>
    <xf numFmtId="164" fontId="5" fillId="0" borderId="0" xfId="4" applyNumberFormat="1" applyFont="1"/>
    <xf numFmtId="37" fontId="5" fillId="0" borderId="0" xfId="0" applyNumberFormat="1" applyFont="1"/>
    <xf numFmtId="39" fontId="5" fillId="0" borderId="3" xfId="0" applyFont="1" applyBorder="1"/>
    <xf numFmtId="39" fontId="5" fillId="0" borderId="4" xfId="0" applyFont="1" applyBorder="1"/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39" fontId="5" fillId="0" borderId="0" xfId="0" applyFont="1" applyBorder="1"/>
    <xf numFmtId="39" fontId="0" fillId="0" borderId="0" xfId="0" applyAlignment="1">
      <alignment wrapText="1"/>
    </xf>
    <xf numFmtId="37" fontId="33" fillId="0" borderId="0" xfId="0" applyNumberFormat="1" applyFont="1" applyFill="1" applyBorder="1" applyProtection="1"/>
    <xf numFmtId="169" fontId="9" fillId="0" borderId="2" xfId="2" applyNumberFormat="1" applyFont="1" applyFill="1" applyBorder="1" applyProtection="1"/>
    <xf numFmtId="37" fontId="16" fillId="0" borderId="0" xfId="0" applyNumberFormat="1" applyFont="1" applyFill="1" applyBorder="1" applyProtection="1"/>
    <xf numFmtId="39" fontId="22" fillId="0" borderId="0" xfId="0" applyFont="1" applyFill="1" applyAlignment="1" applyProtection="1">
      <alignment horizontal="center"/>
    </xf>
    <xf numFmtId="170" fontId="3" fillId="0" borderId="0" xfId="0" applyNumberFormat="1" applyFont="1" applyFill="1" applyAlignment="1" applyProtection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39" fontId="21" fillId="0" borderId="18" xfId="0" applyFont="1" applyFill="1" applyBorder="1" applyAlignment="1" applyProtection="1">
      <alignment horizontal="center"/>
    </xf>
    <xf numFmtId="39" fontId="21" fillId="0" borderId="0" xfId="0" applyFont="1" applyFill="1" applyBorder="1" applyAlignment="1" applyProtection="1">
      <alignment horizontal="center"/>
    </xf>
    <xf numFmtId="39" fontId="16" fillId="0" borderId="15" xfId="0" applyFont="1" applyFill="1" applyBorder="1"/>
    <xf numFmtId="169" fontId="13" fillId="0" borderId="16" xfId="2" applyNumberFormat="1" applyFont="1" applyFill="1" applyBorder="1" applyProtection="1"/>
    <xf numFmtId="37" fontId="32" fillId="0" borderId="16" xfId="0" applyNumberFormat="1" applyFont="1" applyFill="1" applyBorder="1" applyProtection="1"/>
    <xf numFmtId="37" fontId="13" fillId="0" borderId="16" xfId="0" applyNumberFormat="1" applyFont="1" applyFill="1" applyBorder="1" applyProtection="1"/>
    <xf numFmtId="37" fontId="33" fillId="0" borderId="16" xfId="0" applyNumberFormat="1" applyFont="1" applyFill="1" applyBorder="1" applyProtection="1"/>
    <xf numFmtId="169" fontId="9" fillId="0" borderId="17" xfId="2" applyNumberFormat="1" applyFont="1" applyFill="1" applyBorder="1" applyProtection="1"/>
    <xf numFmtId="37" fontId="16" fillId="0" borderId="16" xfId="0" applyNumberFormat="1" applyFont="1" applyFill="1" applyBorder="1" applyProtection="1"/>
    <xf numFmtId="39" fontId="16" fillId="0" borderId="16" xfId="0" applyNumberFormat="1" applyFont="1" applyFill="1" applyBorder="1" applyProtection="1"/>
    <xf numFmtId="39" fontId="16" fillId="0" borderId="0" xfId="0" applyNumberFormat="1" applyFont="1" applyFill="1" applyBorder="1" applyProtection="1"/>
    <xf numFmtId="39" fontId="16" fillId="0" borderId="18" xfId="0" applyFont="1" applyFill="1" applyBorder="1"/>
    <xf numFmtId="39" fontId="6" fillId="0" borderId="0" xfId="0" applyFont="1" applyFill="1"/>
    <xf numFmtId="39" fontId="22" fillId="0" borderId="0" xfId="0" applyFont="1" applyAlignment="1" applyProtection="1">
      <alignment horizontal="center"/>
    </xf>
    <xf numFmtId="170" fontId="3" fillId="0" borderId="0" xfId="0" applyNumberFormat="1" applyFont="1" applyAlignment="1" applyProtection="1">
      <alignment horizontal="center"/>
    </xf>
    <xf numFmtId="39" fontId="44" fillId="0" borderId="0" xfId="0" applyFont="1" applyBorder="1"/>
    <xf numFmtId="39" fontId="22" fillId="0" borderId="0" xfId="0" applyFont="1" applyAlignment="1" applyProtection="1">
      <alignment horizontal="center"/>
    </xf>
    <xf numFmtId="170" fontId="3" fillId="0" borderId="0" xfId="0" applyNumberFormat="1" applyFont="1" applyAlignment="1" applyProtection="1">
      <alignment horizontal="center"/>
    </xf>
    <xf numFmtId="39" fontId="22" fillId="0" borderId="0" xfId="0" applyFont="1" applyAlignment="1" applyProtection="1">
      <alignment horizontal="center"/>
    </xf>
    <xf numFmtId="170" fontId="3" fillId="0" borderId="0" xfId="0" applyNumberFormat="1" applyFont="1" applyAlignment="1" applyProtection="1">
      <alignment horizontal="center"/>
    </xf>
    <xf numFmtId="0" fontId="9" fillId="0" borderId="0" xfId="0" applyNumberFormat="1" applyFont="1" applyBorder="1" applyAlignment="1">
      <alignment horizontal="center"/>
    </xf>
    <xf numFmtId="39" fontId="21" fillId="0" borderId="0" xfId="0" applyFont="1" applyBorder="1" applyAlignment="1" applyProtection="1">
      <alignment horizontal="center"/>
    </xf>
    <xf numFmtId="169" fontId="13" fillId="0" borderId="0" xfId="2" applyNumberFormat="1" applyFont="1" applyBorder="1" applyProtection="1"/>
    <xf numFmtId="37" fontId="20" fillId="0" borderId="0" xfId="0" applyNumberFormat="1" applyFont="1" applyBorder="1" applyProtection="1"/>
    <xf numFmtId="37" fontId="10" fillId="0" borderId="0" xfId="0" applyNumberFormat="1" applyFont="1" applyBorder="1" applyProtection="1"/>
    <xf numFmtId="37" fontId="32" fillId="0" borderId="0" xfId="0" applyNumberFormat="1" applyFont="1" applyBorder="1" applyProtection="1"/>
    <xf numFmtId="37" fontId="11" fillId="0" borderId="0" xfId="0" applyNumberFormat="1" applyFont="1" applyBorder="1" applyProtection="1"/>
    <xf numFmtId="37" fontId="9" fillId="0" borderId="0" xfId="0" applyNumberFormat="1" applyFont="1" applyBorder="1" applyProtection="1"/>
    <xf numFmtId="37" fontId="13" fillId="0" borderId="0" xfId="0" applyNumberFormat="1" applyFont="1" applyBorder="1" applyProtection="1"/>
    <xf numFmtId="37" fontId="33" fillId="0" borderId="0" xfId="0" applyNumberFormat="1" applyFont="1" applyBorder="1" applyProtection="1"/>
    <xf numFmtId="169" fontId="9" fillId="0" borderId="2" xfId="2" applyNumberFormat="1" applyFont="1" applyBorder="1" applyProtection="1"/>
    <xf numFmtId="37" fontId="16" fillId="0" borderId="0" xfId="0" applyNumberFormat="1" applyFont="1" applyBorder="1" applyProtection="1"/>
    <xf numFmtId="39" fontId="16" fillId="0" borderId="0" xfId="0" applyNumberFormat="1" applyFont="1" applyBorder="1" applyProtection="1"/>
    <xf numFmtId="39" fontId="1" fillId="0" borderId="0" xfId="0" applyFont="1" applyFill="1"/>
    <xf numFmtId="164" fontId="42" fillId="0" borderId="0" xfId="4" applyNumberFormat="1" applyFont="1" applyBorder="1"/>
    <xf numFmtId="164" fontId="10" fillId="9" borderId="5" xfId="4" applyNumberFormat="1" applyFont="1" applyFill="1" applyBorder="1"/>
    <xf numFmtId="164" fontId="10" fillId="0" borderId="5" xfId="4" applyNumberFormat="1" applyFont="1" applyFill="1" applyBorder="1"/>
    <xf numFmtId="164" fontId="10" fillId="4" borderId="5" xfId="4" applyNumberFormat="1" applyFont="1" applyFill="1" applyBorder="1"/>
    <xf numFmtId="39" fontId="9" fillId="9" borderId="5" xfId="0" applyFont="1" applyFill="1" applyBorder="1" applyAlignment="1">
      <alignment horizontal="center"/>
    </xf>
    <xf numFmtId="169" fontId="16" fillId="0" borderId="7" xfId="2" applyNumberFormat="1" applyFont="1" applyBorder="1"/>
    <xf numFmtId="9" fontId="16" fillId="0" borderId="8" xfId="4" applyFont="1" applyBorder="1" applyAlignment="1">
      <alignment horizontal="center"/>
    </xf>
    <xf numFmtId="37" fontId="16" fillId="0" borderId="7" xfId="0" applyNumberFormat="1" applyFont="1" applyBorder="1"/>
    <xf numFmtId="37" fontId="19" fillId="0" borderId="13" xfId="0" applyNumberFormat="1" applyFont="1" applyBorder="1"/>
    <xf numFmtId="9" fontId="16" fillId="0" borderId="12" xfId="4" applyFont="1" applyBorder="1" applyAlignment="1">
      <alignment horizontal="center"/>
    </xf>
    <xf numFmtId="37" fontId="16" fillId="0" borderId="13" xfId="0" applyNumberFormat="1" applyFont="1" applyBorder="1"/>
    <xf numFmtId="9" fontId="16" fillId="0" borderId="14" xfId="4" applyFont="1" applyBorder="1" applyAlignment="1">
      <alignment horizontal="center"/>
    </xf>
    <xf numFmtId="37" fontId="19" fillId="0" borderId="2" xfId="0" applyNumberFormat="1" applyFont="1" applyBorder="1"/>
    <xf numFmtId="37" fontId="19" fillId="0" borderId="11" xfId="0" applyNumberFormat="1" applyFont="1" applyBorder="1"/>
    <xf numFmtId="164" fontId="39" fillId="0" borderId="7" xfId="4" applyNumberFormat="1" applyFont="1" applyBorder="1"/>
    <xf numFmtId="9" fontId="39" fillId="0" borderId="8" xfId="4" applyFont="1" applyBorder="1" applyAlignment="1">
      <alignment horizontal="center"/>
    </xf>
    <xf numFmtId="37" fontId="19" fillId="0" borderId="7" xfId="0" applyNumberFormat="1" applyFont="1" applyBorder="1"/>
    <xf numFmtId="9" fontId="19" fillId="0" borderId="8" xfId="4" applyFont="1" applyBorder="1" applyAlignment="1">
      <alignment horizontal="center"/>
    </xf>
    <xf numFmtId="37" fontId="19" fillId="0" borderId="25" xfId="0" applyNumberFormat="1" applyFont="1" applyBorder="1"/>
    <xf numFmtId="9" fontId="19" fillId="0" borderId="26" xfId="4" applyFont="1" applyBorder="1" applyAlignment="1">
      <alignment horizontal="center"/>
    </xf>
    <xf numFmtId="39" fontId="16" fillId="0" borderId="19" xfId="0" applyFont="1" applyBorder="1"/>
    <xf numFmtId="39" fontId="16" fillId="0" borderId="28" xfId="0" applyFont="1" applyBorder="1"/>
    <xf numFmtId="39" fontId="16" fillId="0" borderId="6" xfId="0" applyFont="1" applyBorder="1"/>
    <xf numFmtId="37" fontId="16" fillId="0" borderId="11" xfId="0" applyNumberFormat="1" applyFont="1" applyBorder="1"/>
    <xf numFmtId="37" fontId="16" fillId="0" borderId="9" xfId="0" applyNumberFormat="1" applyFont="1" applyBorder="1"/>
    <xf numFmtId="37" fontId="16" fillId="0" borderId="28" xfId="0" applyNumberFormat="1" applyFont="1" applyBorder="1"/>
    <xf numFmtId="39" fontId="39" fillId="0" borderId="6" xfId="0" applyFont="1" applyBorder="1"/>
    <xf numFmtId="164" fontId="39" fillId="0" borderId="6" xfId="4" applyNumberFormat="1" applyFont="1" applyBorder="1"/>
    <xf numFmtId="164" fontId="39" fillId="0" borderId="22" xfId="4" applyNumberFormat="1" applyFont="1" applyBorder="1"/>
    <xf numFmtId="39" fontId="16" fillId="0" borderId="1" xfId="0" applyFont="1" applyBorder="1"/>
    <xf numFmtId="39" fontId="16" fillId="0" borderId="14" xfId="0" applyFont="1" applyBorder="1"/>
    <xf numFmtId="37" fontId="16" fillId="0" borderId="29" xfId="0" applyNumberFormat="1" applyFont="1" applyBorder="1"/>
    <xf numFmtId="164" fontId="39" fillId="0" borderId="30" xfId="4" applyNumberFormat="1" applyFont="1" applyBorder="1"/>
    <xf numFmtId="9" fontId="39" fillId="0" borderId="32" xfId="4" applyFont="1" applyBorder="1" applyAlignment="1">
      <alignment horizontal="center"/>
    </xf>
    <xf numFmtId="164" fontId="39" fillId="0" borderId="32" xfId="4" applyNumberFormat="1" applyFont="1" applyBorder="1"/>
    <xf numFmtId="39" fontId="19" fillId="0" borderId="6" xfId="0" applyFont="1" applyBorder="1"/>
    <xf numFmtId="9" fontId="16" fillId="0" borderId="8" xfId="4" applyNumberFormat="1" applyFont="1" applyBorder="1" applyAlignment="1">
      <alignment horizontal="center"/>
    </xf>
    <xf numFmtId="39" fontId="16" fillId="0" borderId="5" xfId="0" applyFont="1" applyBorder="1" applyAlignment="1">
      <alignment horizontal="center"/>
    </xf>
    <xf numFmtId="39" fontId="16" fillId="0" borderId="27" xfId="0" applyFont="1" applyBorder="1" applyAlignment="1">
      <alignment horizontal="center"/>
    </xf>
    <xf numFmtId="164" fontId="42" fillId="0" borderId="7" xfId="4" applyNumberFormat="1" applyFont="1" applyBorder="1"/>
    <xf numFmtId="37" fontId="37" fillId="0" borderId="13" xfId="0" applyNumberFormat="1" applyFont="1" applyBorder="1"/>
    <xf numFmtId="37" fontId="37" fillId="0" borderId="14" xfId="0" applyNumberFormat="1" applyFont="1" applyBorder="1"/>
    <xf numFmtId="9" fontId="16" fillId="0" borderId="22" xfId="4" applyFont="1" applyBorder="1" applyAlignment="1">
      <alignment horizontal="center"/>
    </xf>
    <xf numFmtId="37" fontId="16" fillId="0" borderId="11" xfId="0" applyNumberFormat="1" applyFont="1" applyFill="1" applyBorder="1"/>
    <xf numFmtId="37" fontId="16" fillId="0" borderId="9" xfId="0" applyNumberFormat="1" applyFont="1" applyFill="1" applyBorder="1"/>
    <xf numFmtId="37" fontId="16" fillId="0" borderId="7" xfId="0" applyNumberFormat="1" applyFont="1" applyFill="1" applyBorder="1"/>
    <xf numFmtId="9" fontId="16" fillId="10" borderId="8" xfId="4" applyFont="1" applyFill="1" applyBorder="1" applyAlignment="1">
      <alignment horizontal="center"/>
    </xf>
    <xf numFmtId="9" fontId="16" fillId="10" borderId="14" xfId="4" applyFont="1" applyFill="1" applyBorder="1" applyAlignment="1">
      <alignment horizontal="center"/>
    </xf>
    <xf numFmtId="9" fontId="16" fillId="10" borderId="12" xfId="4" applyFont="1" applyFill="1" applyBorder="1" applyAlignment="1">
      <alignment horizontal="center"/>
    </xf>
    <xf numFmtId="9" fontId="16" fillId="9" borderId="8" xfId="4" applyFont="1" applyFill="1" applyBorder="1" applyAlignment="1">
      <alignment horizontal="center"/>
    </xf>
    <xf numFmtId="9" fontId="16" fillId="9" borderId="12" xfId="4" applyFont="1" applyFill="1" applyBorder="1" applyAlignment="1">
      <alignment horizontal="center"/>
    </xf>
    <xf numFmtId="9" fontId="16" fillId="9" borderId="14" xfId="4" applyFont="1" applyFill="1" applyBorder="1" applyAlignment="1">
      <alignment horizontal="center"/>
    </xf>
    <xf numFmtId="9" fontId="16" fillId="9" borderId="20" xfId="4" applyFont="1" applyFill="1" applyBorder="1" applyAlignment="1">
      <alignment horizontal="center"/>
    </xf>
    <xf numFmtId="9" fontId="16" fillId="9" borderId="31" xfId="4" applyFont="1" applyFill="1" applyBorder="1" applyAlignment="1">
      <alignment horizontal="center"/>
    </xf>
    <xf numFmtId="9" fontId="16" fillId="9" borderId="8" xfId="4" applyNumberFormat="1" applyFont="1" applyFill="1" applyBorder="1" applyAlignment="1">
      <alignment horizontal="center"/>
    </xf>
    <xf numFmtId="165" fontId="9" fillId="10" borderId="5" xfId="0" applyNumberFormat="1" applyFont="1" applyFill="1" applyBorder="1" applyAlignment="1">
      <alignment horizontal="center"/>
    </xf>
    <xf numFmtId="39" fontId="9" fillId="10" borderId="5" xfId="0" applyFont="1" applyFill="1" applyBorder="1" applyAlignment="1">
      <alignment horizontal="center"/>
    </xf>
    <xf numFmtId="39" fontId="22" fillId="0" borderId="0" xfId="0" applyFont="1" applyAlignment="1" applyProtection="1">
      <alignment horizontal="center"/>
    </xf>
    <xf numFmtId="170" fontId="3" fillId="0" borderId="0" xfId="0" applyNumberFormat="1" applyFont="1" applyAlignment="1" applyProtection="1">
      <alignment horizontal="center"/>
    </xf>
    <xf numFmtId="9" fontId="16" fillId="0" borderId="8" xfId="4" applyFont="1" applyFill="1" applyBorder="1" applyAlignment="1">
      <alignment horizontal="center"/>
    </xf>
    <xf numFmtId="9" fontId="16" fillId="0" borderId="31" xfId="4" applyFont="1" applyFill="1" applyBorder="1" applyAlignment="1">
      <alignment horizontal="center"/>
    </xf>
    <xf numFmtId="39" fontId="19" fillId="0" borderId="0" xfId="0" applyNumberFormat="1" applyFont="1"/>
    <xf numFmtId="164" fontId="9" fillId="5" borderId="5" xfId="4" applyNumberFormat="1" applyFont="1" applyFill="1" applyBorder="1" applyAlignment="1">
      <alignment horizontal="center"/>
    </xf>
    <xf numFmtId="164" fontId="9" fillId="10" borderId="5" xfId="4" applyNumberFormat="1" applyFont="1" applyFill="1" applyBorder="1" applyAlignment="1">
      <alignment horizontal="center"/>
    </xf>
    <xf numFmtId="164" fontId="10" fillId="9" borderId="5" xfId="4" applyNumberFormat="1" applyFont="1" applyFill="1" applyBorder="1" applyAlignment="1">
      <alignment horizontal="center"/>
    </xf>
    <xf numFmtId="39" fontId="9" fillId="9" borderId="5" xfId="0" applyNumberFormat="1" applyFont="1" applyFill="1" applyBorder="1" applyAlignment="1">
      <alignment horizontal="center"/>
    </xf>
    <xf numFmtId="39" fontId="9" fillId="0" borderId="5" xfId="0" applyNumberFormat="1" applyFont="1" applyBorder="1" applyAlignment="1">
      <alignment horizontal="center"/>
    </xf>
    <xf numFmtId="39" fontId="3" fillId="0" borderId="23" xfId="0" applyFont="1" applyBorder="1" applyAlignment="1">
      <alignment horizontal="center"/>
    </xf>
    <xf numFmtId="39" fontId="0" fillId="0" borderId="24" xfId="0" applyBorder="1" applyAlignment="1">
      <alignment horizontal="center"/>
    </xf>
    <xf numFmtId="39" fontId="29" fillId="0" borderId="0" xfId="0" applyFont="1" applyAlignment="1">
      <alignment horizontal="center"/>
    </xf>
    <xf numFmtId="39" fontId="0" fillId="0" borderId="0" xfId="0" applyAlignment="1"/>
    <xf numFmtId="39" fontId="15" fillId="0" borderId="0" xfId="0" applyFont="1" applyAlignment="1">
      <alignment horizontal="center"/>
    </xf>
    <xf numFmtId="39" fontId="3" fillId="7" borderId="23" xfId="0" applyFont="1" applyFill="1" applyBorder="1" applyAlignment="1">
      <alignment horizontal="center"/>
    </xf>
    <xf numFmtId="39" fontId="0" fillId="7" borderId="3" xfId="0" applyFill="1" applyBorder="1" applyAlignment="1"/>
    <xf numFmtId="39" fontId="0" fillId="7" borderId="24" xfId="0" applyFill="1" applyBorder="1" applyAlignment="1"/>
    <xf numFmtId="39" fontId="17" fillId="0" borderId="0" xfId="0" applyFont="1" applyAlignment="1">
      <alignment horizontal="center"/>
    </xf>
    <xf numFmtId="39" fontId="16" fillId="0" borderId="0" xfId="0" applyFont="1" applyAlignment="1">
      <alignment horizontal="left"/>
    </xf>
    <xf numFmtId="39" fontId="16" fillId="0" borderId="11" xfId="0" applyFont="1" applyBorder="1" applyAlignment="1">
      <alignment horizontal="center"/>
    </xf>
    <xf numFmtId="39" fontId="1" fillId="0" borderId="9" xfId="0" applyFont="1" applyBorder="1" applyAlignment="1">
      <alignment horizontal="center"/>
    </xf>
    <xf numFmtId="39" fontId="1" fillId="0" borderId="12" xfId="0" applyFont="1" applyBorder="1" applyAlignment="1"/>
    <xf numFmtId="17" fontId="16" fillId="0" borderId="13" xfId="0" quotePrefix="1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39" fontId="0" fillId="0" borderId="14" xfId="0" applyBorder="1" applyAlignment="1"/>
    <xf numFmtId="39" fontId="1" fillId="0" borderId="9" xfId="0" applyFont="1" applyBorder="1" applyAlignment="1"/>
    <xf numFmtId="0" fontId="16" fillId="0" borderId="13" xfId="0" applyNumberFormat="1" applyFont="1" applyBorder="1" applyAlignment="1">
      <alignment horizontal="center"/>
    </xf>
    <xf numFmtId="39" fontId="0" fillId="0" borderId="1" xfId="0" applyBorder="1" applyAlignment="1">
      <alignment horizontal="center"/>
    </xf>
    <xf numFmtId="39" fontId="0" fillId="0" borderId="12" xfId="0" applyBorder="1" applyAlignment="1">
      <alignment horizontal="center"/>
    </xf>
    <xf numFmtId="39" fontId="0" fillId="0" borderId="14" xfId="0" applyBorder="1" applyAlignment="1">
      <alignment horizontal="center"/>
    </xf>
    <xf numFmtId="39" fontId="34" fillId="0" borderId="0" xfId="0" applyFont="1" applyAlignment="1" applyProtection="1">
      <alignment horizontal="center"/>
    </xf>
    <xf numFmtId="39" fontId="16" fillId="0" borderId="0" xfId="0" applyFont="1" applyAlignment="1"/>
    <xf numFmtId="170" fontId="23" fillId="0" borderId="0" xfId="0" applyNumberFormat="1" applyFont="1" applyAlignment="1" applyProtection="1">
      <alignment horizontal="center"/>
    </xf>
    <xf numFmtId="39" fontId="22" fillId="0" borderId="0" xfId="0" applyFont="1" applyAlignment="1" applyProtection="1">
      <alignment horizontal="center"/>
    </xf>
    <xf numFmtId="170" fontId="3" fillId="0" borderId="0" xfId="0" applyNumberFormat="1" applyFont="1" applyAlignment="1" applyProtection="1">
      <alignment horizontal="center"/>
    </xf>
    <xf numFmtId="39" fontId="21" fillId="0" borderId="0" xfId="0" applyFont="1" applyAlignment="1" applyProtection="1">
      <alignment horizontal="center"/>
    </xf>
    <xf numFmtId="39" fontId="3" fillId="0" borderId="0" xfId="0" applyFont="1" applyAlignment="1" applyProtection="1">
      <alignment horizontal="center"/>
    </xf>
    <xf numFmtId="39" fontId="3" fillId="0" borderId="0" xfId="0" quotePrefix="1" applyFont="1" applyAlignment="1" applyProtection="1">
      <alignment horizontal="center"/>
    </xf>
    <xf numFmtId="17" fontId="9" fillId="3" borderId="23" xfId="3" applyNumberFormat="1" applyFont="1" applyFill="1" applyBorder="1" applyAlignment="1">
      <alignment horizontal="center"/>
    </xf>
    <xf numFmtId="17" fontId="9" fillId="3" borderId="3" xfId="3" applyNumberFormat="1" applyFont="1" applyFill="1" applyBorder="1" applyAlignment="1">
      <alignment horizontal="center"/>
    </xf>
    <xf numFmtId="17" fontId="9" fillId="3" borderId="24" xfId="3" applyNumberFormat="1" applyFont="1" applyFill="1" applyBorder="1" applyAlignment="1">
      <alignment horizontal="center"/>
    </xf>
    <xf numFmtId="39" fontId="9" fillId="0" borderId="3" xfId="3" applyFont="1" applyBorder="1" applyAlignment="1">
      <alignment horizontal="center"/>
    </xf>
    <xf numFmtId="1" fontId="10" fillId="0" borderId="3" xfId="1" applyNumberFormat="1" applyFont="1" applyFill="1" applyBorder="1" applyAlignment="1">
      <alignment horizontal="center"/>
    </xf>
    <xf numFmtId="1" fontId="10" fillId="0" borderId="3" xfId="3" applyNumberFormat="1" applyFont="1" applyFill="1" applyBorder="1" applyAlignment="1">
      <alignment horizontal="center"/>
    </xf>
    <xf numFmtId="1" fontId="10" fillId="0" borderId="23" xfId="1" applyNumberFormat="1" applyFont="1" applyFill="1" applyBorder="1" applyAlignment="1">
      <alignment horizontal="center"/>
    </xf>
    <xf numFmtId="1" fontId="10" fillId="0" borderId="24" xfId="1" applyNumberFormat="1" applyFont="1" applyFill="1" applyBorder="1" applyAlignment="1">
      <alignment horizontal="center"/>
    </xf>
    <xf numFmtId="1" fontId="10" fillId="0" borderId="23" xfId="1" applyNumberFormat="1" applyFont="1" applyFill="1" applyBorder="1" applyAlignment="1">
      <alignment horizontal="center" readingOrder="2"/>
    </xf>
    <xf numFmtId="1" fontId="10" fillId="0" borderId="24" xfId="1" applyNumberFormat="1" applyFont="1" applyFill="1" applyBorder="1" applyAlignment="1">
      <alignment horizontal="center" readingOrder="2"/>
    </xf>
    <xf numFmtId="1" fontId="0" fillId="0" borderId="24" xfId="0" applyNumberFormat="1" applyBorder="1" applyAlignment="1">
      <alignment horizontal="center"/>
    </xf>
    <xf numFmtId="39" fontId="9" fillId="0" borderId="0" xfId="3" applyFont="1" applyBorder="1" applyAlignment="1">
      <alignment horizontal="center"/>
    </xf>
    <xf numFmtId="39" fontId="21" fillId="0" borderId="0" xfId="3" applyFont="1" applyAlignment="1" applyProtection="1">
      <alignment horizontal="center"/>
    </xf>
    <xf numFmtId="39" fontId="3" fillId="0" borderId="0" xfId="3" applyFont="1" applyAlignment="1" applyProtection="1">
      <alignment horizontal="center"/>
    </xf>
    <xf numFmtId="170" fontId="3" fillId="0" borderId="0" xfId="3" applyNumberFormat="1" applyFont="1" applyAlignment="1" applyProtection="1">
      <alignment horizontal="center"/>
    </xf>
    <xf numFmtId="170" fontId="3" fillId="0" borderId="0" xfId="3" quotePrefix="1" applyNumberFormat="1" applyFont="1" applyAlignment="1" applyProtection="1">
      <alignment horizontal="center"/>
    </xf>
    <xf numFmtId="39" fontId="0" fillId="0" borderId="3" xfId="0" applyBorder="1" applyAlignment="1">
      <alignment horizontal="center"/>
    </xf>
    <xf numFmtId="39" fontId="9" fillId="0" borderId="23" xfId="3" applyFont="1" applyBorder="1" applyAlignment="1">
      <alignment horizontal="center"/>
    </xf>
    <xf numFmtId="39" fontId="9" fillId="0" borderId="24" xfId="3" applyFont="1" applyBorder="1" applyAlignment="1">
      <alignment horizontal="center"/>
    </xf>
    <xf numFmtId="39" fontId="22" fillId="0" borderId="0" xfId="3" applyFont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INC STMS  JAN 04" xfId="3"/>
    <cellStyle name="Percent" xfId="4" builtinId="5"/>
  </cellStyles>
  <dxfs count="0"/>
  <tableStyles count="0" defaultTableStyle="TableStyleMedium2" defaultPivotStyle="PivotStyleLight16"/>
  <colors>
    <mruColors>
      <color rgb="FF74FA44"/>
      <color rgb="FFFF6699"/>
      <color rgb="FFFF9999"/>
      <color rgb="FF45F970"/>
      <color rgb="FFFF99CC"/>
      <color rgb="FF33CC33"/>
      <color rgb="FF00CC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EPMC Days Cash on Hand</a:t>
            </a:r>
          </a:p>
        </c:rich>
      </c:tx>
      <c:layout>
        <c:manualLayout>
          <c:xMode val="edge"/>
          <c:yMode val="edge"/>
          <c:x val="0.32038838986768881"/>
          <c:y val="3.27455919395465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375432705559757E-2"/>
          <c:y val="0.18387931935723906"/>
          <c:w val="0.85923815183266694"/>
          <c:h val="0.56171353721457962"/>
        </c:manualLayout>
      </c:layout>
      <c:lineChart>
        <c:grouping val="standard"/>
        <c:varyColors val="0"/>
        <c:ser>
          <c:idx val="4"/>
          <c:order val="0"/>
          <c:tx>
            <c:strRef>
              <c:f>'Days Cash'!$B$51</c:f>
              <c:strCache>
                <c:ptCount val="1"/>
                <c:pt idx="0">
                  <c:v>2014</c:v>
                </c:pt>
              </c:strCache>
            </c:strRef>
          </c:tx>
          <c:spPr>
            <a:ln w="34925" cap="rnd">
              <a:solidFill>
                <a:schemeClr val="accent6">
                  <a:lumMod val="7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'Days Cash'!$C$47:$N$47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Cash'!$C$51:$N$51</c:f>
              <c:numCache>
                <c:formatCode>#,##0_);\(#,##0\)</c:formatCode>
                <c:ptCount val="12"/>
                <c:pt idx="0">
                  <c:v>99</c:v>
                </c:pt>
                <c:pt idx="1">
                  <c:v>95</c:v>
                </c:pt>
                <c:pt idx="2">
                  <c:v>100</c:v>
                </c:pt>
                <c:pt idx="3">
                  <c:v>96</c:v>
                </c:pt>
                <c:pt idx="4">
                  <c:v>95</c:v>
                </c:pt>
                <c:pt idx="5">
                  <c:v>100</c:v>
                </c:pt>
                <c:pt idx="6">
                  <c:v>115</c:v>
                </c:pt>
                <c:pt idx="7">
                  <c:v>127</c:v>
                </c:pt>
                <c:pt idx="8">
                  <c:v>140</c:v>
                </c:pt>
                <c:pt idx="9">
                  <c:v>143</c:v>
                </c:pt>
                <c:pt idx="10">
                  <c:v>146</c:v>
                </c:pt>
                <c:pt idx="11">
                  <c:v>150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'Days Cash'!$B$50</c:f>
              <c:strCache>
                <c:ptCount val="1"/>
                <c:pt idx="0">
                  <c:v>2015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'Days Cash'!$C$50:$N$50</c:f>
              <c:numCache>
                <c:formatCode>#,##0_);\(#,##0\)</c:formatCode>
                <c:ptCount val="12"/>
                <c:pt idx="0">
                  <c:v>146</c:v>
                </c:pt>
                <c:pt idx="1">
                  <c:v>136</c:v>
                </c:pt>
                <c:pt idx="2">
                  <c:v>137</c:v>
                </c:pt>
                <c:pt idx="3">
                  <c:v>130</c:v>
                </c:pt>
                <c:pt idx="4">
                  <c:v>133</c:v>
                </c:pt>
                <c:pt idx="5">
                  <c:v>136</c:v>
                </c:pt>
                <c:pt idx="6">
                  <c:v>145</c:v>
                </c:pt>
                <c:pt idx="7">
                  <c:v>158</c:v>
                </c:pt>
                <c:pt idx="8">
                  <c:v>166</c:v>
                </c:pt>
                <c:pt idx="9">
                  <c:v>166</c:v>
                </c:pt>
                <c:pt idx="10">
                  <c:v>169</c:v>
                </c:pt>
                <c:pt idx="11">
                  <c:v>175</c:v>
                </c:pt>
              </c:numCache>
            </c:numRef>
          </c:val>
          <c:smooth val="0"/>
        </c:ser>
        <c:ser>
          <c:idx val="3"/>
          <c:order val="2"/>
          <c:tx>
            <c:v>Covenants</c:v>
          </c:tx>
          <c:spPr>
            <a:ln w="34925" cap="rnd">
              <a:solidFill>
                <a:srgbClr val="FFFF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'Days Cash'!$C$47:$N$47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Cash'!$C$52:$N$52</c:f>
              <c:numCache>
                <c:formatCode>#,##0_);\(#,##0\)</c:formatCode>
                <c:ptCount val="12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'Days Cash'!$B$49</c:f>
              <c:strCache>
                <c:ptCount val="1"/>
                <c:pt idx="0">
                  <c:v>2016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'Days Cash'!$C$47:$N$47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'Days Cash'!$C$49:$N$49</c:f>
              <c:numCache>
                <c:formatCode>#,##0_);\(#,##0\)</c:formatCode>
                <c:ptCount val="12"/>
                <c:pt idx="0">
                  <c:v>169</c:v>
                </c:pt>
                <c:pt idx="1">
                  <c:v>181</c:v>
                </c:pt>
                <c:pt idx="2">
                  <c:v>185</c:v>
                </c:pt>
                <c:pt idx="3">
                  <c:v>181</c:v>
                </c:pt>
                <c:pt idx="4">
                  <c:v>187</c:v>
                </c:pt>
                <c:pt idx="5">
                  <c:v>185</c:v>
                </c:pt>
                <c:pt idx="6">
                  <c:v>196</c:v>
                </c:pt>
                <c:pt idx="7">
                  <c:v>202</c:v>
                </c:pt>
                <c:pt idx="8">
                  <c:v>208</c:v>
                </c:pt>
                <c:pt idx="9">
                  <c:v>212</c:v>
                </c:pt>
                <c:pt idx="10">
                  <c:v>218</c:v>
                </c:pt>
                <c:pt idx="11">
                  <c:v>213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'Days Cash'!$B$48</c:f>
              <c:strCache>
                <c:ptCount val="1"/>
                <c:pt idx="0">
                  <c:v>2017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'Days Cash'!$C$48:$N$48</c:f>
              <c:numCache>
                <c:formatCode>#,##0_);\(#,##0\)</c:formatCode>
                <c:ptCount val="12"/>
                <c:pt idx="0">
                  <c:v>202</c:v>
                </c:pt>
                <c:pt idx="1">
                  <c:v>206</c:v>
                </c:pt>
                <c:pt idx="2">
                  <c:v>197</c:v>
                </c:pt>
                <c:pt idx="3">
                  <c:v>196</c:v>
                </c:pt>
                <c:pt idx="4">
                  <c:v>191</c:v>
                </c:pt>
                <c:pt idx="5">
                  <c:v>189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'Days Cash'!$B$53</c:f>
              <c:strCache>
                <c:ptCount val="1"/>
                <c:pt idx="0">
                  <c:v>Cash Target</c:v>
                </c:pt>
              </c:strCache>
            </c:strRef>
          </c:tx>
          <c:spPr>
            <a:ln w="34925" cap="rnd">
              <a:solidFill>
                <a:srgbClr val="74FA4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'Days Cash'!$C$53:$N$53</c:f>
              <c:numCache>
                <c:formatCode>#,##0_);\(#,##0\)</c:formatCode>
                <c:ptCount val="12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312816"/>
        <c:axId val="183648448"/>
      </c:lineChart>
      <c:catAx>
        <c:axId val="18431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64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648448"/>
        <c:scaling>
          <c:orientation val="minMax"/>
          <c:max val="250"/>
          <c:min val="5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312816"/>
        <c:crosses val="autoZero"/>
        <c:crossBetween val="between"/>
        <c:majorUnit val="20"/>
        <c:minorUnit val="4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EPMC Days in AR (Gross)</a:t>
            </a:r>
          </a:p>
        </c:rich>
      </c:tx>
      <c:layout>
        <c:manualLayout>
          <c:xMode val="edge"/>
          <c:yMode val="edge"/>
          <c:x val="0.38334176553722638"/>
          <c:y val="7.1856287425149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85407132038284"/>
          <c:y val="0.20059909565502149"/>
          <c:w val="0.83409560813773564"/>
          <c:h val="0.57185712343446427"/>
        </c:manualLayout>
      </c:layout>
      <c:lineChart>
        <c:grouping val="standard"/>
        <c:varyColors val="0"/>
        <c:ser>
          <c:idx val="1"/>
          <c:order val="0"/>
          <c:tx>
            <c:v>Actual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'Days in AR'!$B$28:$M$28</c:f>
              <c:strCache>
                <c:ptCount val="12"/>
                <c:pt idx="0">
                  <c:v>Jul-16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Jun-17</c:v>
                </c:pt>
              </c:strCache>
            </c:strRef>
          </c:cat>
          <c:val>
            <c:numRef>
              <c:f>'Days in AR'!$B$33:$M$33</c:f>
              <c:numCache>
                <c:formatCode>_(* #,##0.0_);_(* \(#,##0.0\);_(* "-"??_);_(@_)</c:formatCode>
                <c:ptCount val="12"/>
                <c:pt idx="0">
                  <c:v>53.927757547002201</c:v>
                </c:pt>
                <c:pt idx="1">
                  <c:v>49.979655929707661</c:v>
                </c:pt>
                <c:pt idx="2">
                  <c:v>48.708554203808177</c:v>
                </c:pt>
                <c:pt idx="3">
                  <c:v>52.269188050009966</c:v>
                </c:pt>
                <c:pt idx="4">
                  <c:v>51.852102641593014</c:v>
                </c:pt>
                <c:pt idx="5">
                  <c:v>51.942866942752083</c:v>
                </c:pt>
                <c:pt idx="6">
                  <c:v>57.736718544146626</c:v>
                </c:pt>
                <c:pt idx="7">
                  <c:v>58.661760548332069</c:v>
                </c:pt>
                <c:pt idx="8">
                  <c:v>59.406146518101984</c:v>
                </c:pt>
                <c:pt idx="9">
                  <c:v>61.19913137264907</c:v>
                </c:pt>
                <c:pt idx="10">
                  <c:v>60.120908388756824</c:v>
                </c:pt>
                <c:pt idx="11">
                  <c:v>63.224335357622543</c:v>
                </c:pt>
              </c:numCache>
            </c:numRef>
          </c:val>
          <c:smooth val="0"/>
        </c:ser>
        <c:ser>
          <c:idx val="0"/>
          <c:order val="1"/>
          <c:tx>
            <c:v>Target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'Days in AR'!$B$44:$M$44</c:f>
              <c:numCache>
                <c:formatCode>_(* #,##0.0_);_(* \(#,##0.0\);_(* "-"??_);_(@_)</c:formatCode>
                <c:ptCount val="12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48</c:v>
                </c:pt>
                <c:pt idx="5">
                  <c:v>48</c:v>
                </c:pt>
                <c:pt idx="6">
                  <c:v>48</c:v>
                </c:pt>
                <c:pt idx="7">
                  <c:v>48</c:v>
                </c:pt>
                <c:pt idx="8">
                  <c:v>48</c:v>
                </c:pt>
                <c:pt idx="9">
                  <c:v>48</c:v>
                </c:pt>
                <c:pt idx="10">
                  <c:v>48</c:v>
                </c:pt>
                <c:pt idx="11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331544"/>
        <c:axId val="184658632"/>
      </c:lineChart>
      <c:catAx>
        <c:axId val="184331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58632"/>
        <c:crosses val="autoZero"/>
        <c:auto val="0"/>
        <c:lblAlgn val="ctr"/>
        <c:lblOffset val="100"/>
        <c:noMultiLvlLbl val="0"/>
      </c:catAx>
      <c:valAx>
        <c:axId val="184658632"/>
        <c:scaling>
          <c:orientation val="minMax"/>
          <c:max val="70"/>
          <c:min val="4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</a:t>
                </a:r>
              </a:p>
            </c:rich>
          </c:tx>
          <c:layout>
            <c:manualLayout>
              <c:xMode val="edge"/>
              <c:yMode val="edge"/>
              <c:x val="2.5875227135069657E-2"/>
              <c:y val="0.440120389142973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331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28575</xdr:rowOff>
    </xdr:from>
    <xdr:to>
      <xdr:col>13</xdr:col>
      <xdr:colOff>571500</xdr:colOff>
      <xdr:row>27</xdr:row>
      <xdr:rowOff>85725</xdr:rowOff>
    </xdr:to>
    <xdr:graphicFrame macro="">
      <xdr:nvGraphicFramePr>
        <xdr:cNvPr id="117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123825</xdr:rowOff>
    </xdr:from>
    <xdr:to>
      <xdr:col>6</xdr:col>
      <xdr:colOff>762000</xdr:colOff>
      <xdr:row>13</xdr:row>
      <xdr:rowOff>209550</xdr:rowOff>
    </xdr:to>
    <xdr:graphicFrame macro="">
      <xdr:nvGraphicFramePr>
        <xdr:cNvPr id="86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6"/>
  <sheetViews>
    <sheetView topLeftCell="A2" zoomScale="110" zoomScaleNormal="110" zoomScaleSheetLayoutView="100" workbookViewId="0">
      <selection activeCell="R9" sqref="R9"/>
    </sheetView>
  </sheetViews>
  <sheetFormatPr defaultRowHeight="12.75" x14ac:dyDescent="0.2"/>
  <cols>
    <col min="1" max="1" width="34.28515625" customWidth="1"/>
    <col min="2" max="6" width="17.5703125" customWidth="1"/>
    <col min="9" max="9" width="11.42578125" bestFit="1" customWidth="1"/>
    <col min="10" max="10" width="11.7109375" customWidth="1"/>
    <col min="11" max="11" width="19" hidden="1" customWidth="1"/>
    <col min="12" max="12" width="21.42578125" hidden="1" customWidth="1"/>
    <col min="13" max="13" width="9.140625" hidden="1" customWidth="1"/>
  </cols>
  <sheetData>
    <row r="1" spans="1:10" ht="23.25" customHeight="1" x14ac:dyDescent="0.3">
      <c r="A1" s="371" t="s">
        <v>9</v>
      </c>
      <c r="B1" s="371"/>
      <c r="C1" s="372"/>
      <c r="D1" s="372"/>
      <c r="E1" s="372"/>
      <c r="F1" s="372"/>
      <c r="G1" s="98"/>
      <c r="H1" s="98"/>
    </row>
    <row r="2" spans="1:10" ht="20.25" customHeight="1" x14ac:dyDescent="0.3">
      <c r="A2" s="373" t="s">
        <v>146</v>
      </c>
      <c r="B2" s="373"/>
      <c r="C2" s="372"/>
      <c r="D2" s="372"/>
      <c r="E2" s="372"/>
      <c r="F2" s="372"/>
      <c r="G2" s="99"/>
      <c r="H2" s="99"/>
      <c r="I2" s="44"/>
    </row>
    <row r="3" spans="1:10" ht="20.25" customHeight="1" x14ac:dyDescent="0.3">
      <c r="A3" s="373" t="s">
        <v>361</v>
      </c>
      <c r="B3" s="373"/>
      <c r="C3" s="372"/>
      <c r="D3" s="372"/>
      <c r="E3" s="372"/>
      <c r="F3" s="372"/>
      <c r="G3" s="99"/>
      <c r="H3" s="99"/>
      <c r="J3" s="44"/>
    </row>
    <row r="4" spans="1:10" ht="15.75" customHeight="1" x14ac:dyDescent="0.2"/>
    <row r="5" spans="1:10" ht="18.75" x14ac:dyDescent="0.3">
      <c r="B5" s="374" t="s">
        <v>194</v>
      </c>
      <c r="C5" s="375"/>
      <c r="D5" s="375"/>
      <c r="E5" s="375"/>
      <c r="F5" s="376"/>
      <c r="G5" s="119"/>
      <c r="H5" s="119"/>
      <c r="I5" s="119"/>
    </row>
    <row r="6" spans="1:10" ht="18.75" x14ac:dyDescent="0.3">
      <c r="C6" s="29"/>
      <c r="D6" s="29"/>
      <c r="E6" s="29"/>
      <c r="F6" s="29"/>
      <c r="G6" s="29"/>
      <c r="H6" s="29"/>
      <c r="I6" s="119"/>
    </row>
    <row r="7" spans="1:10" ht="18" customHeight="1" x14ac:dyDescent="0.3">
      <c r="A7" s="29"/>
      <c r="B7" s="121" t="s">
        <v>98</v>
      </c>
      <c r="C7" s="190" t="s">
        <v>320</v>
      </c>
      <c r="D7" s="358" t="s">
        <v>186</v>
      </c>
      <c r="E7" s="188" t="s">
        <v>187</v>
      </c>
      <c r="F7" s="306" t="s">
        <v>188</v>
      </c>
      <c r="G7" s="29"/>
      <c r="H7" s="29"/>
      <c r="I7" s="119"/>
    </row>
    <row r="8" spans="1:10" ht="18.75" x14ac:dyDescent="0.3">
      <c r="A8" s="41" t="s">
        <v>184</v>
      </c>
      <c r="B8" s="241">
        <v>60.120908388756824</v>
      </c>
      <c r="C8" s="357">
        <f>'Days in AR'!G40</f>
        <v>63.224335357622543</v>
      </c>
      <c r="D8" s="120" t="s">
        <v>290</v>
      </c>
      <c r="E8" s="120" t="s">
        <v>291</v>
      </c>
      <c r="F8" s="120" t="s">
        <v>292</v>
      </c>
      <c r="G8" s="7" t="s">
        <v>191</v>
      </c>
      <c r="H8" s="12"/>
      <c r="I8" s="12"/>
    </row>
    <row r="9" spans="1:10" ht="15.75" x14ac:dyDescent="0.25">
      <c r="A9" s="41" t="s">
        <v>185</v>
      </c>
      <c r="B9" s="120">
        <v>191</v>
      </c>
      <c r="C9" s="189">
        <v>189</v>
      </c>
      <c r="D9" s="120" t="s">
        <v>293</v>
      </c>
      <c r="E9" s="120" t="s">
        <v>308</v>
      </c>
      <c r="F9" s="120" t="s">
        <v>307</v>
      </c>
      <c r="G9" s="7" t="s">
        <v>192</v>
      </c>
      <c r="H9" s="7"/>
      <c r="I9" s="7"/>
    </row>
    <row r="10" spans="1:10" ht="15.75" x14ac:dyDescent="0.25">
      <c r="A10" s="41" t="s">
        <v>364</v>
      </c>
      <c r="B10" s="368">
        <v>2.21</v>
      </c>
      <c r="C10" s="367">
        <v>2.35</v>
      </c>
      <c r="D10" s="120" t="s">
        <v>365</v>
      </c>
      <c r="E10" s="120" t="s">
        <v>366</v>
      </c>
      <c r="F10" s="120" t="s">
        <v>367</v>
      </c>
      <c r="G10" s="7" t="s">
        <v>193</v>
      </c>
      <c r="H10" s="7"/>
      <c r="I10" s="7"/>
    </row>
    <row r="11" spans="1:10" ht="15.75" x14ac:dyDescent="0.25">
      <c r="A11" s="41" t="s">
        <v>294</v>
      </c>
      <c r="B11" s="140">
        <v>1.78E-2</v>
      </c>
      <c r="C11" s="365">
        <f>'ytd rolling margins'!AJ38</f>
        <v>1.6872383227913616E-2</v>
      </c>
      <c r="D11" s="143" t="s">
        <v>226</v>
      </c>
      <c r="E11" s="143" t="s">
        <v>303</v>
      </c>
      <c r="F11" s="120" t="s">
        <v>298</v>
      </c>
      <c r="G11" s="124" t="s">
        <v>193</v>
      </c>
      <c r="H11" s="7"/>
      <c r="I11" s="7"/>
    </row>
    <row r="12" spans="1:10" ht="15.75" x14ac:dyDescent="0.25">
      <c r="A12" s="123" t="s">
        <v>295</v>
      </c>
      <c r="B12" s="140">
        <v>7.3999999999999996E-2</v>
      </c>
      <c r="C12" s="364">
        <f>'ytd rolling margins'!AJ49</f>
        <v>7.7761215895827671E-2</v>
      </c>
      <c r="D12" s="143" t="s">
        <v>299</v>
      </c>
      <c r="E12" s="143" t="s">
        <v>300</v>
      </c>
      <c r="F12" s="143" t="s">
        <v>297</v>
      </c>
      <c r="G12" s="124" t="s">
        <v>193</v>
      </c>
      <c r="H12" s="7"/>
      <c r="I12" s="7"/>
    </row>
    <row r="13" spans="1:10" ht="15.75" x14ac:dyDescent="0.25">
      <c r="A13" s="7"/>
      <c r="B13" s="7"/>
      <c r="C13" s="7"/>
      <c r="D13" s="7"/>
      <c r="E13" s="7"/>
      <c r="F13" s="7"/>
      <c r="G13" s="7"/>
      <c r="H13" s="7"/>
      <c r="I13" s="7"/>
    </row>
    <row r="14" spans="1:10" ht="15.75" x14ac:dyDescent="0.25">
      <c r="A14" s="7"/>
      <c r="B14" s="7"/>
      <c r="C14" s="7"/>
      <c r="D14" s="7"/>
      <c r="E14" s="7"/>
      <c r="F14" s="7"/>
      <c r="G14" s="7"/>
      <c r="H14" s="7"/>
      <c r="I14" s="7"/>
    </row>
    <row r="15" spans="1:10" ht="18.75" x14ac:dyDescent="0.3">
      <c r="A15" s="7"/>
      <c r="B15" s="374" t="s">
        <v>225</v>
      </c>
      <c r="C15" s="375"/>
      <c r="D15" s="375"/>
      <c r="E15" s="375"/>
      <c r="F15" s="376"/>
      <c r="G15" s="7"/>
      <c r="H15" s="7"/>
      <c r="I15" s="7"/>
    </row>
    <row r="16" spans="1:10" ht="18.75" x14ac:dyDescent="0.3">
      <c r="A16" s="7"/>
      <c r="B16" s="7"/>
      <c r="C16" s="105"/>
      <c r="D16" s="105"/>
      <c r="E16" s="105"/>
      <c r="F16" s="105"/>
      <c r="G16" s="13"/>
      <c r="H16" s="7"/>
      <c r="I16" s="7"/>
    </row>
    <row r="17" spans="1:9" ht="15.75" x14ac:dyDescent="0.25">
      <c r="A17" s="13"/>
      <c r="B17" s="121" t="str">
        <f>B7</f>
        <v>May</v>
      </c>
      <c r="C17" s="121" t="str">
        <f>C7</f>
        <v>June</v>
      </c>
      <c r="D17" s="122" t="s">
        <v>190</v>
      </c>
      <c r="E17" s="122" t="s">
        <v>131</v>
      </c>
      <c r="F17" s="122" t="s">
        <v>309</v>
      </c>
      <c r="G17" s="7"/>
      <c r="H17" s="7"/>
      <c r="I17" s="7"/>
    </row>
    <row r="18" spans="1:9" ht="15.75" x14ac:dyDescent="0.25">
      <c r="A18" s="41" t="s">
        <v>189</v>
      </c>
      <c r="B18" s="140">
        <f>3119250/6482232</f>
        <v>0.48119999407611452</v>
      </c>
      <c r="C18" s="140">
        <f>3949629/8027368</f>
        <v>0.49202042313246386</v>
      </c>
      <c r="D18" s="140">
        <f>3148052/7026367</f>
        <v>0.44803409784885989</v>
      </c>
      <c r="E18" s="140">
        <f>18451404/39501705</f>
        <v>0.46710398956196952</v>
      </c>
      <c r="F18" s="140">
        <f>15644400/35320817</f>
        <v>0.44292293691847501</v>
      </c>
      <c r="G18" s="7" t="s">
        <v>195</v>
      </c>
      <c r="H18" s="7"/>
      <c r="I18" s="7"/>
    </row>
    <row r="19" spans="1:9" ht="15.75" x14ac:dyDescent="0.25">
      <c r="A19" s="123" t="s">
        <v>230</v>
      </c>
      <c r="B19" s="138">
        <v>41330</v>
      </c>
      <c r="C19" s="138">
        <f>+'P&amp;L'!C52</f>
        <v>819481</v>
      </c>
      <c r="D19" s="138">
        <v>604189</v>
      </c>
      <c r="E19" s="138">
        <f>+'P&amp;L'!G52</f>
        <v>1278718</v>
      </c>
      <c r="F19" s="138">
        <f>+'P&amp;L'!H52</f>
        <v>142411</v>
      </c>
      <c r="G19" s="7" t="s">
        <v>193</v>
      </c>
      <c r="H19" s="7"/>
      <c r="I19" s="7"/>
    </row>
    <row r="20" spans="1:9" ht="15.75" x14ac:dyDescent="0.25">
      <c r="A20" s="123" t="s">
        <v>304</v>
      </c>
      <c r="B20" s="140">
        <v>-4.008669052017208E-2</v>
      </c>
      <c r="C20" s="140">
        <f>'P&amp;L'!C42</f>
        <v>0.1014558926096337</v>
      </c>
      <c r="D20" s="140">
        <f>'P&amp;L'!D42</f>
        <v>0.10857537387409423</v>
      </c>
      <c r="E20" s="140">
        <f>'P&amp;L'!G42</f>
        <v>-1.4320557799407463E-3</v>
      </c>
      <c r="F20" s="140">
        <f>+'P&amp;L'!H42</f>
        <v>-4.5734506376858018E-2</v>
      </c>
      <c r="G20" s="7" t="s">
        <v>195</v>
      </c>
      <c r="H20" s="7"/>
      <c r="I20" s="7"/>
    </row>
    <row r="21" spans="1:9" ht="15.75" x14ac:dyDescent="0.25">
      <c r="I21" s="7"/>
    </row>
    <row r="22" spans="1:9" ht="18.75" x14ac:dyDescent="0.3">
      <c r="A22" s="369" t="s">
        <v>183</v>
      </c>
      <c r="B22" s="370"/>
      <c r="C22" s="150"/>
      <c r="D22" s="149"/>
      <c r="E22" s="149"/>
      <c r="F22" s="150"/>
      <c r="G22" s="7"/>
      <c r="H22" s="7"/>
      <c r="I22" s="7"/>
    </row>
    <row r="23" spans="1:9" ht="18.75" x14ac:dyDescent="0.3">
      <c r="C23" s="13"/>
      <c r="D23" s="149"/>
      <c r="E23" s="149"/>
      <c r="F23" s="150"/>
      <c r="G23" s="125"/>
      <c r="H23" s="125"/>
      <c r="I23" s="125"/>
    </row>
    <row r="24" spans="1:9" ht="15.75" x14ac:dyDescent="0.25">
      <c r="A24" s="41" t="s">
        <v>234</v>
      </c>
      <c r="B24" s="141" t="s">
        <v>346</v>
      </c>
      <c r="C24" s="142"/>
      <c r="E24" s="142"/>
      <c r="F24" s="142"/>
      <c r="G24" s="13"/>
      <c r="H24" s="13"/>
      <c r="I24" s="13"/>
    </row>
    <row r="25" spans="1:9" ht="15.75" x14ac:dyDescent="0.25">
      <c r="B25" s="141" t="s">
        <v>347</v>
      </c>
      <c r="C25" s="142"/>
      <c r="E25" s="142"/>
      <c r="F25" s="142"/>
      <c r="G25" s="127"/>
      <c r="H25" s="13"/>
      <c r="I25" s="141"/>
    </row>
    <row r="26" spans="1:9" ht="15.75" x14ac:dyDescent="0.25">
      <c r="B26" s="141" t="s">
        <v>348</v>
      </c>
      <c r="C26" s="142"/>
      <c r="E26" s="142"/>
      <c r="F26" s="142"/>
      <c r="H26" s="13"/>
      <c r="I26" s="141"/>
    </row>
    <row r="27" spans="1:9" ht="15.75" hidden="1" x14ac:dyDescent="0.25">
      <c r="B27" s="132"/>
      <c r="C27" s="142"/>
      <c r="E27" s="142"/>
      <c r="F27" s="142"/>
      <c r="G27" s="127"/>
      <c r="H27" s="13"/>
    </row>
    <row r="28" spans="1:9" ht="15.75" hidden="1" x14ac:dyDescent="0.25">
      <c r="B28" s="132"/>
      <c r="C28" s="132"/>
      <c r="E28" s="142"/>
      <c r="F28" s="142"/>
      <c r="G28" s="127"/>
      <c r="H28" s="13"/>
    </row>
    <row r="29" spans="1:9" ht="15.75" hidden="1" x14ac:dyDescent="0.25">
      <c r="B29" s="141" t="s">
        <v>239</v>
      </c>
      <c r="C29" s="132"/>
      <c r="E29" s="142"/>
      <c r="F29" s="142"/>
      <c r="G29" s="127"/>
      <c r="H29" s="13"/>
    </row>
    <row r="30" spans="1:9" ht="15.75" x14ac:dyDescent="0.25">
      <c r="B30" s="165"/>
      <c r="C30" s="165"/>
      <c r="E30" s="165"/>
      <c r="F30" s="165"/>
      <c r="G30" s="127"/>
      <c r="H30" s="13"/>
      <c r="I30" s="141"/>
    </row>
    <row r="31" spans="1:9" ht="15.75" x14ac:dyDescent="0.25">
      <c r="A31" s="123" t="s">
        <v>235</v>
      </c>
      <c r="B31" s="141" t="s">
        <v>349</v>
      </c>
      <c r="C31" s="165"/>
      <c r="E31" s="165"/>
      <c r="F31" s="142"/>
      <c r="G31" s="127"/>
      <c r="H31" s="13"/>
      <c r="I31" s="13"/>
    </row>
    <row r="32" spans="1:9" ht="15.75" x14ac:dyDescent="0.25">
      <c r="A32" s="41"/>
      <c r="B32" s="141" t="s">
        <v>350</v>
      </c>
      <c r="C32" s="132"/>
      <c r="E32" s="142"/>
      <c r="F32" s="165"/>
      <c r="G32" s="127"/>
      <c r="H32" s="13"/>
      <c r="I32" s="13"/>
    </row>
    <row r="33" spans="1:13" ht="15.75" x14ac:dyDescent="0.25">
      <c r="B33" s="141"/>
      <c r="C33" s="165"/>
      <c r="E33" s="165"/>
      <c r="F33" s="165"/>
      <c r="G33" s="127"/>
      <c r="H33" s="13"/>
      <c r="K33" s="13"/>
      <c r="M33" s="41"/>
    </row>
    <row r="34" spans="1:13" ht="15.75" x14ac:dyDescent="0.25">
      <c r="A34" s="123" t="s">
        <v>274</v>
      </c>
      <c r="B34" s="141" t="s">
        <v>351</v>
      </c>
      <c r="G34" s="127"/>
      <c r="H34" s="13"/>
      <c r="K34" s="13"/>
    </row>
    <row r="35" spans="1:13" x14ac:dyDescent="0.2">
      <c r="G35" s="13"/>
      <c r="H35" s="13"/>
    </row>
    <row r="36" spans="1:13" ht="15.75" x14ac:dyDescent="0.25">
      <c r="A36" s="123" t="s">
        <v>236</v>
      </c>
      <c r="B36" s="141" t="s">
        <v>352</v>
      </c>
      <c r="C36" s="165"/>
      <c r="E36" s="165"/>
      <c r="F36" s="165"/>
      <c r="G36" s="13"/>
      <c r="H36" s="13"/>
      <c r="K36" s="216" t="s">
        <v>310</v>
      </c>
      <c r="L36" s="210" t="s">
        <v>311</v>
      </c>
    </row>
    <row r="37" spans="1:13" ht="15.75" x14ac:dyDescent="0.25">
      <c r="A37" s="165"/>
      <c r="B37" s="141" t="s">
        <v>353</v>
      </c>
      <c r="C37" s="165"/>
      <c r="E37" s="165"/>
      <c r="F37" s="165"/>
      <c r="G37" s="13"/>
      <c r="H37" s="13"/>
      <c r="K37" s="133">
        <v>1566798</v>
      </c>
      <c r="L37" s="133">
        <v>1508172</v>
      </c>
    </row>
    <row r="38" spans="1:13" ht="15.75" x14ac:dyDescent="0.25">
      <c r="A38" s="165"/>
      <c r="B38" s="141"/>
      <c r="C38" s="165"/>
      <c r="E38" s="165"/>
      <c r="F38" s="165"/>
      <c r="G38" s="13"/>
      <c r="H38" s="13"/>
      <c r="K38" s="133">
        <v>290080</v>
      </c>
      <c r="L38" s="133">
        <v>299375</v>
      </c>
    </row>
    <row r="39" spans="1:13" ht="15.75" x14ac:dyDescent="0.25">
      <c r="A39" s="123" t="s">
        <v>237</v>
      </c>
      <c r="B39" s="141" t="s">
        <v>363</v>
      </c>
      <c r="C39" s="165"/>
      <c r="E39" s="165"/>
      <c r="F39" s="165"/>
      <c r="G39" s="127"/>
      <c r="H39" s="13"/>
      <c r="I39" s="13"/>
      <c r="J39" s="13"/>
      <c r="K39" s="208">
        <v>280107</v>
      </c>
      <c r="L39" s="208">
        <v>298646</v>
      </c>
    </row>
    <row r="40" spans="1:13" ht="15.75" x14ac:dyDescent="0.25">
      <c r="A40" s="132"/>
      <c r="B40" s="141" t="s">
        <v>354</v>
      </c>
      <c r="C40" s="165"/>
      <c r="E40" s="142"/>
      <c r="F40" s="165"/>
      <c r="G40" s="126"/>
      <c r="H40" s="13"/>
      <c r="I40" s="13"/>
      <c r="J40" s="13"/>
      <c r="K40" s="133">
        <f>SUM(K37:K39)</f>
        <v>2136985</v>
      </c>
      <c r="L40" s="133">
        <f>SUM(L37:L39)</f>
        <v>2106193</v>
      </c>
      <c r="M40" s="133">
        <f>L40-K40</f>
        <v>-30792</v>
      </c>
    </row>
    <row r="41" spans="1:13" ht="15.75" x14ac:dyDescent="0.25">
      <c r="A41" s="165"/>
      <c r="B41" s="141" t="s">
        <v>355</v>
      </c>
      <c r="C41" s="165"/>
      <c r="E41" s="142"/>
      <c r="F41" s="142"/>
      <c r="G41" s="97"/>
      <c r="H41" s="13"/>
      <c r="I41" s="13"/>
    </row>
    <row r="42" spans="1:13" ht="15.75" x14ac:dyDescent="0.25">
      <c r="A42" s="165"/>
      <c r="B42" s="141"/>
      <c r="C42" s="165"/>
      <c r="E42" s="165"/>
      <c r="F42" s="165"/>
      <c r="G42" s="97"/>
      <c r="H42" s="13"/>
      <c r="I42" s="13"/>
    </row>
    <row r="43" spans="1:13" ht="15.75" x14ac:dyDescent="0.25">
      <c r="A43" s="123" t="s">
        <v>238</v>
      </c>
      <c r="B43" s="141" t="s">
        <v>362</v>
      </c>
      <c r="C43" s="165"/>
      <c r="G43" s="13"/>
      <c r="H43" s="13"/>
      <c r="I43" s="13"/>
    </row>
    <row r="44" spans="1:13" ht="15" customHeight="1" x14ac:dyDescent="0.25">
      <c r="A44" s="165"/>
      <c r="B44" s="160" t="s">
        <v>356</v>
      </c>
      <c r="C44" s="165"/>
      <c r="E44" s="165"/>
      <c r="F44" s="165"/>
      <c r="G44" s="126"/>
      <c r="H44" s="126"/>
      <c r="I44" s="126"/>
    </row>
    <row r="45" spans="1:13" ht="15" customHeight="1" x14ac:dyDescent="0.25">
      <c r="A45" s="165"/>
      <c r="B45" s="160"/>
      <c r="C45" s="165"/>
      <c r="E45" s="165"/>
      <c r="F45" s="165"/>
      <c r="G45" s="126"/>
      <c r="H45" s="126"/>
      <c r="I45" s="126"/>
    </row>
    <row r="46" spans="1:13" ht="15" customHeight="1" x14ac:dyDescent="0.25">
      <c r="A46" s="123" t="s">
        <v>327</v>
      </c>
      <c r="B46" s="160" t="s">
        <v>345</v>
      </c>
      <c r="C46" s="165"/>
      <c r="E46" s="165"/>
      <c r="F46" s="165"/>
      <c r="G46" s="126"/>
      <c r="H46" s="126"/>
      <c r="I46" s="126"/>
    </row>
    <row r="47" spans="1:13" ht="15" customHeight="1" x14ac:dyDescent="0.25">
      <c r="A47" s="165"/>
      <c r="B47" s="160"/>
      <c r="C47" s="165"/>
      <c r="E47" s="165"/>
      <c r="F47" s="165"/>
      <c r="G47" s="126"/>
      <c r="H47" s="126"/>
      <c r="I47" s="126"/>
    </row>
    <row r="48" spans="1:13" ht="15" customHeight="1" x14ac:dyDescent="0.2"/>
    <row r="49" spans="1:6" ht="15" customHeight="1" x14ac:dyDescent="0.2">
      <c r="F49" s="137" t="s">
        <v>276</v>
      </c>
    </row>
    <row r="50" spans="1:6" ht="15" customHeight="1" x14ac:dyDescent="0.2"/>
    <row r="51" spans="1:6" ht="15" customHeight="1" x14ac:dyDescent="0.2"/>
    <row r="52" spans="1:6" ht="15" customHeight="1" x14ac:dyDescent="0.2"/>
    <row r="53" spans="1:6" ht="15" customHeight="1" x14ac:dyDescent="0.2"/>
    <row r="54" spans="1:6" ht="15" customHeight="1" x14ac:dyDescent="0.2"/>
    <row r="55" spans="1:6" ht="15" customHeight="1" x14ac:dyDescent="0.2"/>
    <row r="56" spans="1:6" ht="15" customHeight="1" x14ac:dyDescent="0.2"/>
    <row r="57" spans="1:6" ht="15" customHeight="1" x14ac:dyDescent="0.2"/>
    <row r="58" spans="1:6" ht="15" customHeight="1" x14ac:dyDescent="0.2"/>
    <row r="59" spans="1:6" ht="15" customHeight="1" x14ac:dyDescent="0.2"/>
    <row r="60" spans="1:6" ht="15" customHeight="1" x14ac:dyDescent="0.2"/>
    <row r="61" spans="1:6" ht="15" customHeight="1" x14ac:dyDescent="0.2"/>
    <row r="64" spans="1:6" ht="18.75" x14ac:dyDescent="0.3">
      <c r="A64" s="40"/>
      <c r="B64" s="40"/>
    </row>
    <row r="65" spans="1:2" ht="18.75" x14ac:dyDescent="0.3">
      <c r="A65" s="40"/>
      <c r="B65" s="40"/>
    </row>
    <row r="66" spans="1:2" ht="18.75" x14ac:dyDescent="0.3">
      <c r="A66" s="40"/>
      <c r="B66" s="40"/>
    </row>
  </sheetData>
  <mergeCells count="6">
    <mergeCell ref="A22:B22"/>
    <mergeCell ref="A1:F1"/>
    <mergeCell ref="A2:F2"/>
    <mergeCell ref="A3:F3"/>
    <mergeCell ref="B5:F5"/>
    <mergeCell ref="B15:F15"/>
  </mergeCells>
  <phoneticPr fontId="8" type="noConversion"/>
  <printOptions horizontalCentered="1" verticalCentered="1"/>
  <pageMargins left="0" right="0" top="0" bottom="0" header="0" footer="0"/>
  <pageSetup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opLeftCell="A3" zoomScale="110" zoomScaleNormal="110" workbookViewId="0">
      <selection activeCell="T22" sqref="T22"/>
    </sheetView>
  </sheetViews>
  <sheetFormatPr defaultRowHeight="12.75" x14ac:dyDescent="0.2"/>
  <cols>
    <col min="1" max="1" width="2.85546875" style="13" customWidth="1"/>
    <col min="2" max="2" width="34.140625" style="13" customWidth="1"/>
    <col min="3" max="3" width="11.5703125" style="13" customWidth="1"/>
    <col min="4" max="4" width="10.42578125" style="13" customWidth="1"/>
    <col min="5" max="5" width="8.5703125" style="13" customWidth="1"/>
    <col min="6" max="6" width="1.5703125" style="13" customWidth="1"/>
    <col min="7" max="7" width="12.140625" style="13" bestFit="1" customWidth="1"/>
    <col min="8" max="8" width="12.85546875" style="13" bestFit="1" customWidth="1"/>
    <col min="9" max="9" width="8.5703125" style="13" customWidth="1"/>
    <col min="10" max="10" width="1.28515625" style="13" customWidth="1"/>
    <col min="11" max="11" width="12.7109375" style="106" customWidth="1"/>
    <col min="12" max="12" width="8.5703125" style="106" customWidth="1"/>
    <col min="13" max="13" width="1.85546875" style="207" customWidth="1"/>
    <col min="14" max="14" width="10.5703125" style="13" bestFit="1" customWidth="1"/>
    <col min="15" max="15" width="11.140625" style="13" bestFit="1" customWidth="1"/>
    <col min="16" max="16" width="13.42578125" bestFit="1" customWidth="1"/>
    <col min="17" max="18" width="9" bestFit="1" customWidth="1"/>
  </cols>
  <sheetData>
    <row r="1" spans="1:14" ht="14.25" x14ac:dyDescent="0.2">
      <c r="A1" s="390" t="s">
        <v>7</v>
      </c>
      <c r="B1" s="391"/>
      <c r="C1" s="391"/>
      <c r="D1" s="391"/>
      <c r="E1" s="391"/>
      <c r="F1" s="391"/>
      <c r="G1" s="391"/>
      <c r="H1" s="391"/>
      <c r="I1" s="372"/>
      <c r="J1" s="372"/>
      <c r="K1" s="372"/>
      <c r="L1" s="372"/>
      <c r="M1" s="196"/>
    </row>
    <row r="2" spans="1:14" ht="14.25" x14ac:dyDescent="0.2">
      <c r="A2" s="390" t="s">
        <v>223</v>
      </c>
      <c r="B2" s="391"/>
      <c r="C2" s="391"/>
      <c r="D2" s="391"/>
      <c r="E2" s="391"/>
      <c r="F2" s="391"/>
      <c r="G2" s="391"/>
      <c r="H2" s="391"/>
      <c r="I2" s="372"/>
      <c r="J2" s="372"/>
      <c r="K2" s="372"/>
      <c r="L2" s="372"/>
      <c r="M2" s="196"/>
    </row>
    <row r="3" spans="1:14" ht="14.25" x14ac:dyDescent="0.2">
      <c r="A3" s="392">
        <v>42916</v>
      </c>
      <c r="B3" s="391"/>
      <c r="C3" s="391"/>
      <c r="D3" s="391"/>
      <c r="E3" s="391"/>
      <c r="F3" s="391"/>
      <c r="G3" s="391"/>
      <c r="H3" s="391"/>
      <c r="I3" s="372"/>
      <c r="J3" s="372"/>
      <c r="K3" s="372"/>
      <c r="L3" s="372"/>
      <c r="M3" s="196"/>
    </row>
    <row r="4" spans="1:14" x14ac:dyDescent="0.2">
      <c r="C4" s="379" t="s">
        <v>340</v>
      </c>
      <c r="D4" s="380"/>
      <c r="E4" s="381"/>
      <c r="G4" s="379" t="s">
        <v>339</v>
      </c>
      <c r="H4" s="385"/>
      <c r="I4" s="381"/>
      <c r="K4" s="379" t="s">
        <v>338</v>
      </c>
      <c r="L4" s="388"/>
      <c r="M4" s="197"/>
    </row>
    <row r="5" spans="1:14" x14ac:dyDescent="0.2">
      <c r="C5" s="382">
        <v>42887</v>
      </c>
      <c r="D5" s="383"/>
      <c r="E5" s="384"/>
      <c r="G5" s="386" t="s">
        <v>341</v>
      </c>
      <c r="H5" s="387"/>
      <c r="I5" s="384"/>
      <c r="K5" s="386" t="s">
        <v>342</v>
      </c>
      <c r="L5" s="389"/>
      <c r="M5" s="198"/>
      <c r="N5" s="211"/>
    </row>
    <row r="6" spans="1:14" x14ac:dyDescent="0.2">
      <c r="A6" s="377" t="s">
        <v>0</v>
      </c>
      <c r="B6" s="377"/>
      <c r="C6" s="339" t="s">
        <v>158</v>
      </c>
      <c r="D6" s="339" t="s">
        <v>190</v>
      </c>
      <c r="E6" s="339" t="s">
        <v>337</v>
      </c>
      <c r="G6" s="340" t="s">
        <v>158</v>
      </c>
      <c r="H6" s="340" t="s">
        <v>190</v>
      </c>
      <c r="I6" s="340" t="s">
        <v>337</v>
      </c>
      <c r="K6" s="339" t="s">
        <v>158</v>
      </c>
      <c r="L6" s="339" t="s">
        <v>337</v>
      </c>
      <c r="M6" s="199"/>
      <c r="N6" s="212"/>
    </row>
    <row r="7" spans="1:14" x14ac:dyDescent="0.2">
      <c r="A7" s="13" t="s">
        <v>201</v>
      </c>
      <c r="C7" s="101"/>
      <c r="D7" s="102"/>
      <c r="E7" s="103"/>
      <c r="G7" s="101"/>
      <c r="H7" s="102"/>
      <c r="I7" s="103"/>
      <c r="K7" s="101"/>
      <c r="L7" s="103"/>
      <c r="M7" s="200"/>
      <c r="N7" s="106"/>
    </row>
    <row r="8" spans="1:14" x14ac:dyDescent="0.2">
      <c r="B8" s="13" t="s">
        <v>202</v>
      </c>
      <c r="C8" s="307">
        <v>1454718</v>
      </c>
      <c r="D8" s="193">
        <v>979633</v>
      </c>
      <c r="E8" s="351">
        <f t="shared" ref="E8:E13" si="0">(C8/D8)-1</f>
        <v>0.48496222564980962</v>
      </c>
      <c r="G8" s="307">
        <v>6724373</v>
      </c>
      <c r="H8" s="193">
        <v>5730013</v>
      </c>
      <c r="I8" s="351">
        <f t="shared" ref="I8:I13" si="1">(G8/H8)-1</f>
        <v>0.17353538290401782</v>
      </c>
      <c r="K8" s="307">
        <v>5475837</v>
      </c>
      <c r="L8" s="351">
        <f>(G8/K8)-1</f>
        <v>0.22800824787151264</v>
      </c>
      <c r="M8" s="201"/>
      <c r="N8" s="193"/>
    </row>
    <row r="9" spans="1:14" x14ac:dyDescent="0.2">
      <c r="B9" s="13" t="s">
        <v>203</v>
      </c>
      <c r="C9" s="309">
        <v>5058344</v>
      </c>
      <c r="D9" s="45">
        <v>4700902</v>
      </c>
      <c r="E9" s="361">
        <f t="shared" si="0"/>
        <v>7.6036896748751692E-2</v>
      </c>
      <c r="G9" s="309">
        <v>24885271</v>
      </c>
      <c r="H9" s="45">
        <v>22090199</v>
      </c>
      <c r="I9" s="351">
        <f t="shared" si="1"/>
        <v>0.1265299601873211</v>
      </c>
      <c r="K9" s="309">
        <v>21058508</v>
      </c>
      <c r="L9" s="351">
        <f t="shared" ref="L9:L13" si="2">(G9/K9)-1</f>
        <v>0.18172051885157292</v>
      </c>
      <c r="M9" s="202"/>
      <c r="N9" s="45"/>
    </row>
    <row r="10" spans="1:14" x14ac:dyDescent="0.2">
      <c r="B10" s="13" t="s">
        <v>204</v>
      </c>
      <c r="C10" s="309">
        <v>388680</v>
      </c>
      <c r="D10" s="45">
        <v>310367</v>
      </c>
      <c r="E10" s="351">
        <f t="shared" si="0"/>
        <v>0.25232386175076593</v>
      </c>
      <c r="G10" s="309">
        <v>2008806</v>
      </c>
      <c r="H10" s="45">
        <v>2015552</v>
      </c>
      <c r="I10" s="308">
        <f t="shared" si="1"/>
        <v>-3.3469739307148139E-3</v>
      </c>
      <c r="K10" s="309">
        <v>1919590</v>
      </c>
      <c r="L10" s="338">
        <f t="shared" si="2"/>
        <v>4.6476591355445684E-2</v>
      </c>
      <c r="M10" s="202"/>
      <c r="N10" s="45"/>
    </row>
    <row r="11" spans="1:14" x14ac:dyDescent="0.2">
      <c r="B11" s="13" t="s">
        <v>323</v>
      </c>
      <c r="C11" s="309">
        <v>761328</v>
      </c>
      <c r="D11" s="45">
        <v>677124</v>
      </c>
      <c r="E11" s="351">
        <f t="shared" si="0"/>
        <v>0.12435536179488538</v>
      </c>
      <c r="F11" s="134"/>
      <c r="G11" s="309">
        <v>4167995</v>
      </c>
      <c r="H11" s="45">
        <v>3805899</v>
      </c>
      <c r="I11" s="351">
        <f t="shared" si="1"/>
        <v>9.5140727591562557E-2</v>
      </c>
      <c r="K11" s="309">
        <v>3664898</v>
      </c>
      <c r="L11" s="351">
        <f>(G11/K11)-1</f>
        <v>0.13727448894894212</v>
      </c>
      <c r="M11" s="203"/>
      <c r="N11" s="45"/>
    </row>
    <row r="12" spans="1:14" x14ac:dyDescent="0.2">
      <c r="B12" s="13" t="s">
        <v>241</v>
      </c>
      <c r="C12" s="312">
        <v>364298</v>
      </c>
      <c r="D12" s="208">
        <v>358341</v>
      </c>
      <c r="E12" s="313">
        <f t="shared" si="0"/>
        <v>1.6623830373861725E-2</v>
      </c>
      <c r="G12" s="312">
        <v>1715261</v>
      </c>
      <c r="H12" s="208">
        <v>1679154</v>
      </c>
      <c r="I12" s="313">
        <f t="shared" si="1"/>
        <v>2.1503090246636214E-2</v>
      </c>
      <c r="J12" s="134"/>
      <c r="K12" s="312">
        <v>1599191</v>
      </c>
      <c r="L12" s="313">
        <f t="shared" si="2"/>
        <v>7.2580448489267368E-2</v>
      </c>
      <c r="M12" s="203"/>
      <c r="N12" s="194"/>
    </row>
    <row r="13" spans="1:14" x14ac:dyDescent="0.2">
      <c r="A13" s="13" t="s">
        <v>1</v>
      </c>
      <c r="C13" s="345">
        <f>SUM(C8:C12)</f>
        <v>8027368</v>
      </c>
      <c r="D13" s="346">
        <f>SUM(D8:D12)</f>
        <v>7026367</v>
      </c>
      <c r="E13" s="352">
        <f t="shared" si="0"/>
        <v>0.14246352346810243</v>
      </c>
      <c r="G13" s="347">
        <f>SUM(G8:G12)-1</f>
        <v>39501705</v>
      </c>
      <c r="H13" s="148">
        <f>SUM(H8:H12)</f>
        <v>35320817</v>
      </c>
      <c r="I13" s="351">
        <f t="shared" si="1"/>
        <v>0.11836894939321474</v>
      </c>
      <c r="K13" s="345">
        <f>SUM(K8:K12)</f>
        <v>33718024</v>
      </c>
      <c r="L13" s="352">
        <f t="shared" si="2"/>
        <v>0.17153084059730195</v>
      </c>
      <c r="M13" s="203"/>
      <c r="N13" s="194"/>
    </row>
    <row r="14" spans="1:14" x14ac:dyDescent="0.2">
      <c r="C14" s="309"/>
      <c r="D14" s="45"/>
      <c r="E14" s="308"/>
      <c r="G14" s="309"/>
      <c r="H14" s="45"/>
      <c r="I14" s="308"/>
      <c r="K14" s="309"/>
      <c r="L14" s="308"/>
      <c r="M14" s="202"/>
      <c r="N14" s="45"/>
    </row>
    <row r="15" spans="1:14" x14ac:dyDescent="0.2">
      <c r="B15" s="13" t="s">
        <v>207</v>
      </c>
      <c r="C15" s="309">
        <v>-3501212</v>
      </c>
      <c r="D15" s="45">
        <v>-2585781</v>
      </c>
      <c r="E15" s="348">
        <f>(C15-D15)/-D15</f>
        <v>-0.35402495416278484</v>
      </c>
      <c r="G15" s="309">
        <v>-15031870</v>
      </c>
      <c r="H15" s="45">
        <v>-12817690</v>
      </c>
      <c r="I15" s="348">
        <f>(G15-H15)/-H15</f>
        <v>-0.17274407479038734</v>
      </c>
      <c r="K15" s="309">
        <v>-12262705</v>
      </c>
      <c r="L15" s="348">
        <f>(G15-K15)/-K15</f>
        <v>-0.22582007803335397</v>
      </c>
      <c r="M15" s="202"/>
      <c r="N15" s="45"/>
    </row>
    <row r="16" spans="1:14" x14ac:dyDescent="0.2">
      <c r="B16" s="13" t="s">
        <v>206</v>
      </c>
      <c r="C16" s="312">
        <v>-448417</v>
      </c>
      <c r="D16" s="208">
        <v>-562271</v>
      </c>
      <c r="E16" s="353">
        <f>(C16-D16)/-D16</f>
        <v>0.20248954685551984</v>
      </c>
      <c r="G16" s="312">
        <v>-3419534</v>
      </c>
      <c r="H16" s="208">
        <v>-2826710</v>
      </c>
      <c r="I16" s="349">
        <f>(G16-H16)/-H16</f>
        <v>-0.20972225661634905</v>
      </c>
      <c r="K16" s="310">
        <v>-2563818</v>
      </c>
      <c r="L16" s="349">
        <f>(G16-K16)/-K16</f>
        <v>-0.33376628138190778</v>
      </c>
      <c r="M16" s="203"/>
      <c r="N16" s="194"/>
    </row>
    <row r="17" spans="1:20" x14ac:dyDescent="0.2">
      <c r="B17" s="13" t="s">
        <v>208</v>
      </c>
      <c r="C17" s="325">
        <f>SUM(C15:C16)</f>
        <v>-3949629</v>
      </c>
      <c r="D17" s="326">
        <f>SUM(D15:D16)</f>
        <v>-3148052</v>
      </c>
      <c r="E17" s="350">
        <f>(C17-D17)/-D17</f>
        <v>-0.25462635305897108</v>
      </c>
      <c r="G17" s="325">
        <f>SUM(G15:G16)</f>
        <v>-18451404</v>
      </c>
      <c r="H17" s="326">
        <f>SUM(H15:H16)</f>
        <v>-15644400</v>
      </c>
      <c r="I17" s="350">
        <f>(G17-H17)/-H17</f>
        <v>-0.17942548132239011</v>
      </c>
      <c r="K17" s="315">
        <f>SUM(K15:K16)</f>
        <v>-14826523</v>
      </c>
      <c r="L17" s="350">
        <f>(G17-K17)/-K17</f>
        <v>-0.2444862494058789</v>
      </c>
      <c r="M17" s="203"/>
      <c r="N17" s="194"/>
    </row>
    <row r="18" spans="1:20" x14ac:dyDescent="0.2">
      <c r="C18" s="316">
        <f>-C17/C13</f>
        <v>0.49202042313246386</v>
      </c>
      <c r="D18" s="147">
        <f>-D17/D13</f>
        <v>0.44803409784885989</v>
      </c>
      <c r="E18" s="317"/>
      <c r="F18" s="147"/>
      <c r="G18" s="316">
        <f>-G17/G13</f>
        <v>0.46710398956196952</v>
      </c>
      <c r="H18" s="302">
        <f>-H17/H13</f>
        <v>0.44292293691847501</v>
      </c>
      <c r="I18" s="317"/>
      <c r="J18" s="147"/>
      <c r="K18" s="341">
        <f>-K17/K13</f>
        <v>0.43972099314004875</v>
      </c>
      <c r="L18" s="308"/>
      <c r="M18" s="202"/>
      <c r="N18" s="213"/>
      <c r="P18" s="13"/>
      <c r="Q18" s="13"/>
      <c r="R18" s="13"/>
      <c r="S18" s="13"/>
      <c r="T18" s="13"/>
    </row>
    <row r="19" spans="1:20" x14ac:dyDescent="0.2">
      <c r="A19" s="13" t="s">
        <v>2</v>
      </c>
      <c r="C19" s="309">
        <f>C13+C17</f>
        <v>4077739</v>
      </c>
      <c r="D19" s="45">
        <v>3878315</v>
      </c>
      <c r="E19" s="308">
        <f>(C19/D19)-1</f>
        <v>5.1420268853870743E-2</v>
      </c>
      <c r="G19" s="309">
        <f>G13+G17</f>
        <v>21050301</v>
      </c>
      <c r="H19" s="45">
        <f>H13+H17</f>
        <v>19676417</v>
      </c>
      <c r="I19" s="308">
        <f>(G19/H19)-1</f>
        <v>6.982389120946153E-2</v>
      </c>
      <c r="K19" s="309">
        <f>K13+K17-1</f>
        <v>18891500</v>
      </c>
      <c r="L19" s="351">
        <f>(G19/K19)-1</f>
        <v>0.11427366805176931</v>
      </c>
      <c r="M19" s="203"/>
      <c r="N19" s="194"/>
    </row>
    <row r="20" spans="1:20" x14ac:dyDescent="0.2">
      <c r="C20" s="318"/>
      <c r="D20" s="194"/>
      <c r="E20" s="319"/>
      <c r="F20" s="134"/>
      <c r="G20" s="318"/>
      <c r="H20" s="194"/>
      <c r="I20" s="319"/>
      <c r="K20" s="318"/>
      <c r="L20" s="308"/>
      <c r="M20" s="203"/>
      <c r="N20" s="194"/>
    </row>
    <row r="21" spans="1:20" x14ac:dyDescent="0.2">
      <c r="B21" s="13" t="s">
        <v>220</v>
      </c>
      <c r="C21" s="309">
        <v>98875</v>
      </c>
      <c r="D21" s="45">
        <v>67064</v>
      </c>
      <c r="E21" s="351">
        <f>(C21/D21)-1</f>
        <v>0.474337945842777</v>
      </c>
      <c r="G21" s="309">
        <v>548718</v>
      </c>
      <c r="H21" s="45">
        <v>420706</v>
      </c>
      <c r="I21" s="351">
        <f>(G21/H21)-1</f>
        <v>0.30427899768484412</v>
      </c>
      <c r="K21" s="309">
        <v>427035</v>
      </c>
      <c r="L21" s="351">
        <f>(G21/K21)-1</f>
        <v>0.28494854051775609</v>
      </c>
      <c r="M21" s="203"/>
      <c r="N21" s="194"/>
    </row>
    <row r="22" spans="1:20" ht="13.5" thickBot="1" x14ac:dyDescent="0.25">
      <c r="C22" s="320"/>
      <c r="D22" s="314"/>
      <c r="E22" s="321"/>
      <c r="F22" s="134"/>
      <c r="G22" s="320"/>
      <c r="H22" s="314"/>
      <c r="I22" s="321"/>
      <c r="K22" s="310"/>
      <c r="L22" s="313"/>
      <c r="M22" s="203"/>
      <c r="N22" s="194"/>
    </row>
    <row r="23" spans="1:20" ht="13.5" thickTop="1" x14ac:dyDescent="0.2">
      <c r="A23" s="13" t="s">
        <v>3</v>
      </c>
      <c r="C23" s="309">
        <f>C19+C21-1</f>
        <v>4176613</v>
      </c>
      <c r="D23" s="45">
        <f>D19+D21</f>
        <v>3945379</v>
      </c>
      <c r="E23" s="308">
        <f>(C23/D23)-1</f>
        <v>5.8608818062852786E-2</v>
      </c>
      <c r="G23" s="309">
        <f>G19+G21</f>
        <v>21599019</v>
      </c>
      <c r="H23" s="45">
        <f>H19+H21</f>
        <v>20097123</v>
      </c>
      <c r="I23" s="308">
        <f>(G23/H23)-1</f>
        <v>7.4731890728837236E-2</v>
      </c>
      <c r="K23" s="325">
        <f>K19+K21+1</f>
        <v>19318536</v>
      </c>
      <c r="L23" s="352">
        <f>(G23/K23)-1</f>
        <v>0.11804636748871644</v>
      </c>
      <c r="M23" s="203"/>
      <c r="N23" s="194"/>
    </row>
    <row r="24" spans="1:20" x14ac:dyDescent="0.2">
      <c r="C24" s="309"/>
      <c r="D24" s="45"/>
      <c r="E24" s="308"/>
      <c r="G24" s="309"/>
      <c r="H24" s="45"/>
      <c r="I24" s="308"/>
      <c r="K24" s="309"/>
      <c r="L24" s="308"/>
      <c r="M24" s="202"/>
      <c r="N24" s="45"/>
    </row>
    <row r="25" spans="1:20" x14ac:dyDescent="0.2">
      <c r="A25" s="378" t="s">
        <v>4</v>
      </c>
      <c r="B25" s="378"/>
      <c r="C25" s="309"/>
      <c r="D25" s="45"/>
      <c r="E25" s="308"/>
      <c r="G25" s="309"/>
      <c r="H25" s="45"/>
      <c r="I25" s="308"/>
      <c r="K25" s="309"/>
      <c r="L25" s="308"/>
      <c r="M25" s="202"/>
      <c r="N25" s="45"/>
    </row>
    <row r="26" spans="1:20" x14ac:dyDescent="0.2">
      <c r="B26" s="13" t="s">
        <v>282</v>
      </c>
      <c r="C26" s="309">
        <v>1566798</v>
      </c>
      <c r="D26" s="45">
        <v>1508172</v>
      </c>
      <c r="E26" s="308">
        <f>(D26-C26)/D26</f>
        <v>-3.8872224122978014E-2</v>
      </c>
      <c r="G26" s="309">
        <v>9098695</v>
      </c>
      <c r="H26" s="45">
        <v>8855684</v>
      </c>
      <c r="I26" s="308">
        <f>(H26-G26)/H26</f>
        <v>-2.7441245645169813E-2</v>
      </c>
      <c r="K26" s="309">
        <v>8528530</v>
      </c>
      <c r="L26" s="308">
        <f>(K26-G26)/K26</f>
        <v>-6.6853842338597619E-2</v>
      </c>
      <c r="M26" s="202"/>
      <c r="N26" s="45"/>
      <c r="Q26" s="172"/>
      <c r="R26" s="173"/>
    </row>
    <row r="27" spans="1:20" x14ac:dyDescent="0.2">
      <c r="B27" s="13" t="s">
        <v>248</v>
      </c>
      <c r="C27" s="309">
        <v>290080</v>
      </c>
      <c r="D27" s="45">
        <v>299375</v>
      </c>
      <c r="E27" s="308">
        <f t="shared" ref="E27:E39" si="3">(D27-C27)/D27</f>
        <v>3.1048016701461376E-2</v>
      </c>
      <c r="G27" s="309">
        <v>1757910</v>
      </c>
      <c r="H27" s="45">
        <v>1788298</v>
      </c>
      <c r="I27" s="308">
        <f t="shared" ref="I27:I39" si="4">(H27-G27)/H27</f>
        <v>1.6992693611467439E-2</v>
      </c>
      <c r="K27" s="309">
        <v>1653420</v>
      </c>
      <c r="L27" s="308">
        <f t="shared" ref="L27:L39" si="5">(K27-G27)/K27</f>
        <v>-6.3196284065754615E-2</v>
      </c>
      <c r="M27" s="202"/>
      <c r="N27" s="45"/>
      <c r="Q27" s="172"/>
      <c r="R27" s="172"/>
    </row>
    <row r="28" spans="1:20" x14ac:dyDescent="0.2">
      <c r="B28" s="13" t="s">
        <v>281</v>
      </c>
      <c r="C28" s="309">
        <v>280107</v>
      </c>
      <c r="D28" s="45">
        <v>298646</v>
      </c>
      <c r="E28" s="308">
        <f t="shared" si="3"/>
        <v>6.2076840138491726E-2</v>
      </c>
      <c r="G28" s="309">
        <v>1665034</v>
      </c>
      <c r="H28" s="45">
        <v>1709179</v>
      </c>
      <c r="I28" s="308">
        <f t="shared" si="4"/>
        <v>2.5828190025737503E-2</v>
      </c>
      <c r="K28" s="309">
        <v>1577777</v>
      </c>
      <c r="L28" s="308">
        <f t="shared" si="5"/>
        <v>-5.5303759656782928E-2</v>
      </c>
      <c r="M28" s="202"/>
      <c r="N28" s="45"/>
      <c r="Q28" s="172"/>
      <c r="R28" s="172"/>
    </row>
    <row r="29" spans="1:20" x14ac:dyDescent="0.2">
      <c r="B29" s="13" t="s">
        <v>209</v>
      </c>
      <c r="C29" s="309">
        <v>80555</v>
      </c>
      <c r="D29" s="45">
        <v>74334</v>
      </c>
      <c r="E29" s="308">
        <f t="shared" si="3"/>
        <v>-8.3689832378184947E-2</v>
      </c>
      <c r="G29" s="309">
        <v>577471</v>
      </c>
      <c r="H29" s="45">
        <v>538146</v>
      </c>
      <c r="I29" s="308">
        <f t="shared" si="4"/>
        <v>-7.3074964786507754E-2</v>
      </c>
      <c r="K29" s="309">
        <v>409760</v>
      </c>
      <c r="L29" s="348">
        <f t="shared" si="5"/>
        <v>-0.40929080437329168</v>
      </c>
      <c r="M29" s="202"/>
      <c r="N29" s="45"/>
      <c r="Q29" s="172"/>
      <c r="R29" s="172"/>
    </row>
    <row r="30" spans="1:20" x14ac:dyDescent="0.2">
      <c r="B30" s="13" t="s">
        <v>210</v>
      </c>
      <c r="C30" s="309">
        <v>265253</v>
      </c>
      <c r="D30" s="45">
        <v>215173</v>
      </c>
      <c r="E30" s="348">
        <f t="shared" si="3"/>
        <v>-0.23274295566822975</v>
      </c>
      <c r="G30" s="309">
        <v>1455712</v>
      </c>
      <c r="H30" s="45">
        <v>1360792</v>
      </c>
      <c r="I30" s="308">
        <f t="shared" si="4"/>
        <v>-6.9753496493218659E-2</v>
      </c>
      <c r="K30" s="309">
        <v>1317677</v>
      </c>
      <c r="L30" s="348">
        <f t="shared" si="5"/>
        <v>-0.10475632495672309</v>
      </c>
      <c r="M30" s="202"/>
      <c r="N30" s="45"/>
      <c r="Q30" s="172"/>
      <c r="R30" s="172"/>
    </row>
    <row r="31" spans="1:20" x14ac:dyDescent="0.2">
      <c r="B31" s="13" t="s">
        <v>211</v>
      </c>
      <c r="C31" s="309">
        <v>47622</v>
      </c>
      <c r="D31" s="45">
        <v>33960</v>
      </c>
      <c r="E31" s="348">
        <f t="shared" si="3"/>
        <v>-0.40229681978798587</v>
      </c>
      <c r="G31" s="309">
        <v>224872</v>
      </c>
      <c r="H31" s="45">
        <v>226233</v>
      </c>
      <c r="I31" s="308">
        <f t="shared" si="4"/>
        <v>6.0159216383109445E-3</v>
      </c>
      <c r="K31" s="309">
        <v>218481</v>
      </c>
      <c r="L31" s="308">
        <f t="shared" si="5"/>
        <v>-2.9251971567321643E-2</v>
      </c>
      <c r="M31" s="202"/>
      <c r="N31" s="45"/>
      <c r="Q31" s="172"/>
      <c r="R31" s="172"/>
    </row>
    <row r="32" spans="1:20" x14ac:dyDescent="0.2">
      <c r="B32" s="13" t="s">
        <v>272</v>
      </c>
      <c r="C32" s="309">
        <v>104253</v>
      </c>
      <c r="D32" s="45">
        <v>12540</v>
      </c>
      <c r="E32" s="348">
        <f t="shared" si="3"/>
        <v>-7.3136363636363635</v>
      </c>
      <c r="G32" s="309">
        <v>392361</v>
      </c>
      <c r="H32" s="45">
        <v>50420</v>
      </c>
      <c r="I32" s="348">
        <f t="shared" si="4"/>
        <v>-6.7818524395081319</v>
      </c>
      <c r="K32" s="309">
        <v>191980</v>
      </c>
      <c r="L32" s="348">
        <f t="shared" si="5"/>
        <v>-1.0437597666423586</v>
      </c>
      <c r="M32" s="202"/>
      <c r="N32" s="45"/>
      <c r="Q32" s="172"/>
      <c r="R32" s="172"/>
    </row>
    <row r="33" spans="1:18" x14ac:dyDescent="0.2">
      <c r="B33" s="13" t="s">
        <v>212</v>
      </c>
      <c r="C33" s="309">
        <v>151263</v>
      </c>
      <c r="D33" s="45">
        <v>156052</v>
      </c>
      <c r="E33" s="361">
        <f t="shared" si="3"/>
        <v>3.0688488452567091E-2</v>
      </c>
      <c r="G33" s="309">
        <v>923922</v>
      </c>
      <c r="H33" s="45">
        <v>951063</v>
      </c>
      <c r="I33" s="308">
        <f t="shared" si="4"/>
        <v>2.8537541677049784E-2</v>
      </c>
      <c r="K33" s="309">
        <v>812917</v>
      </c>
      <c r="L33" s="348">
        <f t="shared" si="5"/>
        <v>-0.13655145605270894</v>
      </c>
      <c r="M33" s="202"/>
      <c r="N33" s="45"/>
      <c r="Q33" s="172"/>
      <c r="R33" s="172"/>
    </row>
    <row r="34" spans="1:18" x14ac:dyDescent="0.2">
      <c r="B34" s="13" t="s">
        <v>213</v>
      </c>
      <c r="C34" s="309">
        <v>74814</v>
      </c>
      <c r="D34" s="45">
        <v>81485</v>
      </c>
      <c r="E34" s="308">
        <f t="shared" si="3"/>
        <v>8.1867828434681225E-2</v>
      </c>
      <c r="G34" s="309">
        <v>497720</v>
      </c>
      <c r="H34" s="45">
        <v>550065</v>
      </c>
      <c r="I34" s="351">
        <f t="shared" si="4"/>
        <v>9.5161480915891758E-2</v>
      </c>
      <c r="K34" s="309">
        <v>650038</v>
      </c>
      <c r="L34" s="351">
        <f t="shared" si="5"/>
        <v>0.23432168580913731</v>
      </c>
      <c r="M34" s="202"/>
      <c r="N34" s="45"/>
      <c r="Q34" s="172"/>
      <c r="R34" s="172"/>
    </row>
    <row r="35" spans="1:18" x14ac:dyDescent="0.2">
      <c r="B35" s="13" t="s">
        <v>214</v>
      </c>
      <c r="C35" s="309">
        <v>93653</v>
      </c>
      <c r="D35" s="45">
        <v>77785</v>
      </c>
      <c r="E35" s="348">
        <f t="shared" si="3"/>
        <v>-0.20399820016712733</v>
      </c>
      <c r="G35" s="309">
        <v>466379</v>
      </c>
      <c r="H35" s="45">
        <v>449988</v>
      </c>
      <c r="I35" s="308">
        <f t="shared" si="4"/>
        <v>-3.6425415788865483E-2</v>
      </c>
      <c r="K35" s="309">
        <v>415352</v>
      </c>
      <c r="L35" s="348">
        <f t="shared" si="5"/>
        <v>-0.12285242396810417</v>
      </c>
      <c r="M35" s="202"/>
      <c r="N35" s="45"/>
      <c r="Q35" s="172"/>
      <c r="R35" s="172"/>
    </row>
    <row r="36" spans="1:18" x14ac:dyDescent="0.2">
      <c r="B36" s="13" t="s">
        <v>215</v>
      </c>
      <c r="C36" s="309">
        <v>443117</v>
      </c>
      <c r="D36" s="45">
        <v>359709</v>
      </c>
      <c r="E36" s="348">
        <f t="shared" si="3"/>
        <v>-0.2318763222493738</v>
      </c>
      <c r="G36" s="309">
        <v>2324147</v>
      </c>
      <c r="H36" s="45">
        <v>2113891</v>
      </c>
      <c r="I36" s="348">
        <f t="shared" si="4"/>
        <v>-9.9463974254112436E-2</v>
      </c>
      <c r="K36" s="309">
        <v>1906006</v>
      </c>
      <c r="L36" s="348">
        <f t="shared" si="5"/>
        <v>-0.21938073647197334</v>
      </c>
      <c r="M36" s="202"/>
      <c r="N36" s="45"/>
      <c r="Q36" s="172"/>
      <c r="R36" s="172"/>
    </row>
    <row r="37" spans="1:18" x14ac:dyDescent="0.2">
      <c r="B37" s="13" t="s">
        <v>216</v>
      </c>
      <c r="C37" s="309">
        <v>160911</v>
      </c>
      <c r="D37" s="45">
        <v>189717</v>
      </c>
      <c r="E37" s="351">
        <f t="shared" si="3"/>
        <v>0.15183668305950443</v>
      </c>
      <c r="G37" s="309">
        <v>1077404</v>
      </c>
      <c r="H37" s="45">
        <v>1165659</v>
      </c>
      <c r="I37" s="308">
        <f t="shared" si="4"/>
        <v>7.5712536856833768E-2</v>
      </c>
      <c r="K37" s="309">
        <v>1014849</v>
      </c>
      <c r="L37" s="308">
        <f t="shared" si="5"/>
        <v>-6.1639711917733576E-2</v>
      </c>
      <c r="M37" s="202"/>
      <c r="N37" s="45"/>
    </row>
    <row r="38" spans="1:18" x14ac:dyDescent="0.2">
      <c r="B38" s="13" t="s">
        <v>218</v>
      </c>
      <c r="C38" s="312">
        <v>194447</v>
      </c>
      <c r="D38" s="208">
        <v>210060</v>
      </c>
      <c r="E38" s="313">
        <f t="shared" si="3"/>
        <v>7.4326382938208133E-2</v>
      </c>
      <c r="F38" s="134"/>
      <c r="G38" s="312">
        <v>1168325</v>
      </c>
      <c r="H38" s="208">
        <v>1256837</v>
      </c>
      <c r="I38" s="313">
        <f t="shared" si="4"/>
        <v>7.042440666530346E-2</v>
      </c>
      <c r="K38" s="312">
        <v>1257131</v>
      </c>
      <c r="L38" s="313">
        <f t="shared" si="5"/>
        <v>7.0641802644274942E-2</v>
      </c>
      <c r="M38" s="203"/>
      <c r="N38" s="194"/>
    </row>
    <row r="39" spans="1:18" x14ac:dyDescent="0.2">
      <c r="A39" s="13" t="s">
        <v>219</v>
      </c>
      <c r="C39" s="325">
        <f>SUM(C26:C38)-2</f>
        <v>3752871</v>
      </c>
      <c r="D39" s="326">
        <f>SUM(D26:D38)</f>
        <v>3517008</v>
      </c>
      <c r="E39" s="311">
        <f t="shared" si="3"/>
        <v>-6.7063538098292644E-2</v>
      </c>
      <c r="F39" s="134"/>
      <c r="G39" s="325">
        <f>SUM(G26:G38)-2</f>
        <v>21629950</v>
      </c>
      <c r="H39" s="326">
        <f>SUM(H26:H38)</f>
        <v>21016255</v>
      </c>
      <c r="I39" s="311">
        <f t="shared" si="4"/>
        <v>-2.9200968488439068E-2</v>
      </c>
      <c r="K39" s="325">
        <f>SUM(K26:K38)</f>
        <v>19953918</v>
      </c>
      <c r="L39" s="311">
        <f t="shared" si="5"/>
        <v>-8.3995133186374721E-2</v>
      </c>
      <c r="M39" s="203"/>
      <c r="N39" s="194"/>
    </row>
    <row r="40" spans="1:18" ht="13.5" thickBot="1" x14ac:dyDescent="0.25">
      <c r="C40" s="309"/>
      <c r="D40" s="45"/>
      <c r="E40" s="308"/>
      <c r="G40" s="309"/>
      <c r="H40" s="45"/>
      <c r="I40" s="308"/>
      <c r="K40" s="309"/>
      <c r="L40" s="308"/>
      <c r="M40" s="202"/>
      <c r="N40" s="45"/>
    </row>
    <row r="41" spans="1:18" x14ac:dyDescent="0.2">
      <c r="A41" s="322" t="s">
        <v>5</v>
      </c>
      <c r="B41" s="322"/>
      <c r="C41" s="333">
        <f>C23-C39</f>
        <v>423742</v>
      </c>
      <c r="D41" s="327">
        <f>D23-D39</f>
        <v>428371</v>
      </c>
      <c r="E41" s="362">
        <f>(D41-C41)/D41</f>
        <v>1.080605363108147E-2</v>
      </c>
      <c r="F41" s="323"/>
      <c r="G41" s="333">
        <f>G23-G39</f>
        <v>-30931</v>
      </c>
      <c r="H41" s="327">
        <f>H23-H39</f>
        <v>-919132</v>
      </c>
      <c r="I41" s="355">
        <f>(H41-G41)/H41</f>
        <v>0.96634759751591714</v>
      </c>
      <c r="J41" s="323"/>
      <c r="K41" s="333">
        <f>K23-K39-1</f>
        <v>-635383</v>
      </c>
      <c r="L41" s="354">
        <f>((G41-K41)/K41)*-1</f>
        <v>0.9513191256297383</v>
      </c>
      <c r="M41" s="202"/>
      <c r="N41" s="45"/>
    </row>
    <row r="42" spans="1:18" ht="13.5" thickBot="1" x14ac:dyDescent="0.25">
      <c r="A42" s="152"/>
      <c r="B42" s="328" t="s">
        <v>304</v>
      </c>
      <c r="C42" s="329">
        <f>C41/C23</f>
        <v>0.1014558926096337</v>
      </c>
      <c r="D42" s="329">
        <f>D41/D23</f>
        <v>0.10857537387409423</v>
      </c>
      <c r="E42" s="335"/>
      <c r="F42" s="329"/>
      <c r="G42" s="334">
        <f>G41/G23</f>
        <v>-1.4320557799407463E-3</v>
      </c>
      <c r="H42" s="329">
        <f>H41/H23</f>
        <v>-4.5734506376858018E-2</v>
      </c>
      <c r="I42" s="335"/>
      <c r="J42" s="329"/>
      <c r="K42" s="334">
        <f>K41/K23</f>
        <v>-3.2889811111980742E-2</v>
      </c>
      <c r="L42" s="344"/>
      <c r="M42" s="202"/>
      <c r="N42" s="214"/>
    </row>
    <row r="43" spans="1:18" x14ac:dyDescent="0.2">
      <c r="C43" s="309"/>
      <c r="D43" s="45"/>
      <c r="E43" s="308"/>
      <c r="G43" s="309"/>
      <c r="H43" s="45"/>
      <c r="I43" s="308"/>
      <c r="K43" s="309"/>
      <c r="L43" s="308"/>
      <c r="M43" s="202"/>
      <c r="N43" s="45"/>
    </row>
    <row r="44" spans="1:18" x14ac:dyDescent="0.2">
      <c r="B44" s="13" t="s">
        <v>301</v>
      </c>
      <c r="C44" s="309">
        <v>246550</v>
      </c>
      <c r="D44" s="45">
        <v>218508</v>
      </c>
      <c r="E44" s="356">
        <f>(C44/D44)-1</f>
        <v>0.12833397404214031</v>
      </c>
      <c r="G44" s="309">
        <v>1362111</v>
      </c>
      <c r="H44" s="45">
        <v>1317649</v>
      </c>
      <c r="I44" s="308">
        <f>(G44/H44)-1</f>
        <v>3.3743432431550424E-2</v>
      </c>
      <c r="K44" s="309">
        <v>1304213</v>
      </c>
      <c r="L44" s="308">
        <f>(G44/K44)-1</f>
        <v>4.4393055428829431E-2</v>
      </c>
      <c r="M44" s="202"/>
      <c r="N44" s="45"/>
    </row>
    <row r="45" spans="1:18" x14ac:dyDescent="0.2">
      <c r="B45" s="13" t="s">
        <v>302</v>
      </c>
      <c r="C45" s="309">
        <v>76892</v>
      </c>
      <c r="D45" s="45">
        <v>-5242</v>
      </c>
      <c r="E45" s="356">
        <f t="shared" ref="E45:E46" si="6">(C45-D45)/-D45</f>
        <v>15.668447157573445</v>
      </c>
      <c r="G45" s="309">
        <v>54558</v>
      </c>
      <c r="H45" s="45">
        <v>-31521</v>
      </c>
      <c r="I45" s="351">
        <f t="shared" ref="I45:I46" si="7">(G45-H45)/-H45</f>
        <v>2.7308461025982678</v>
      </c>
      <c r="K45" s="309">
        <v>-31421</v>
      </c>
      <c r="L45" s="351">
        <f>(G45-K45)/-K45</f>
        <v>2.7363546672607493</v>
      </c>
      <c r="M45" s="202"/>
      <c r="N45" s="45"/>
    </row>
    <row r="46" spans="1:18" x14ac:dyDescent="0.2">
      <c r="B46" s="13" t="s">
        <v>314</v>
      </c>
      <c r="C46" s="312">
        <v>-35899</v>
      </c>
      <c r="D46" s="208">
        <v>-37448</v>
      </c>
      <c r="E46" s="313">
        <f t="shared" si="6"/>
        <v>4.1364024781029692E-2</v>
      </c>
      <c r="G46" s="312">
        <v>-215216</v>
      </c>
      <c r="H46" s="208">
        <v>-224585</v>
      </c>
      <c r="I46" s="313">
        <f t="shared" si="7"/>
        <v>4.1716944586682105E-2</v>
      </c>
      <c r="K46" s="312">
        <v>-461506</v>
      </c>
      <c r="L46" s="353">
        <f>(G46-K46)/-K46</f>
        <v>0.5336658678327042</v>
      </c>
      <c r="M46" s="202"/>
      <c r="N46" s="45"/>
      <c r="O46" s="174"/>
    </row>
    <row r="47" spans="1:18" x14ac:dyDescent="0.2">
      <c r="C47" s="325"/>
      <c r="D47" s="326"/>
      <c r="E47" s="311"/>
      <c r="G47" s="325"/>
      <c r="H47" s="326"/>
      <c r="I47" s="311"/>
      <c r="K47" s="325"/>
      <c r="L47" s="311"/>
      <c r="M47" s="202"/>
      <c r="N47" s="45"/>
    </row>
    <row r="48" spans="1:18" x14ac:dyDescent="0.2">
      <c r="A48" s="13" t="s">
        <v>228</v>
      </c>
      <c r="C48" s="309">
        <f>C41+C44+C45+C46</f>
        <v>711285</v>
      </c>
      <c r="D48" s="45">
        <f>D41+D44+D45+D46</f>
        <v>604189</v>
      </c>
      <c r="E48" s="351">
        <f>(C48/D48)-1</f>
        <v>0.17725579247553336</v>
      </c>
      <c r="F48" s="13">
        <f>F41+F44-F45-F46+1</f>
        <v>1</v>
      </c>
      <c r="G48" s="309">
        <f>G41+G44+G45+G46-1</f>
        <v>1170521</v>
      </c>
      <c r="H48" s="45">
        <f>H41+H44+H45+H46</f>
        <v>142411</v>
      </c>
      <c r="I48" s="356">
        <f>((G48/H48)-1)</f>
        <v>7.2193159236294946</v>
      </c>
      <c r="J48" s="13">
        <f>J41+J44-J45-J46+1</f>
        <v>1</v>
      </c>
      <c r="K48" s="309">
        <f>K41+K44+K45+K46+1</f>
        <v>175904</v>
      </c>
      <c r="L48" s="351">
        <f>((G48/K48)-1)</f>
        <v>5.654317127524104</v>
      </c>
      <c r="M48" s="202"/>
      <c r="N48" s="45"/>
    </row>
    <row r="49" spans="1:14" x14ac:dyDescent="0.2">
      <c r="C49" s="309"/>
      <c r="D49" s="45"/>
      <c r="E49" s="308"/>
      <c r="G49" s="309"/>
      <c r="H49" s="45"/>
      <c r="I49" s="308"/>
      <c r="K49" s="309"/>
      <c r="L49" s="308"/>
      <c r="M49" s="202"/>
      <c r="N49" s="45"/>
    </row>
    <row r="50" spans="1:14" x14ac:dyDescent="0.2">
      <c r="B50" s="13" t="s">
        <v>277</v>
      </c>
      <c r="C50" s="309">
        <v>108196</v>
      </c>
      <c r="D50" s="45">
        <v>0</v>
      </c>
      <c r="E50" s="308"/>
      <c r="G50" s="309">
        <v>108196</v>
      </c>
      <c r="H50" s="45">
        <v>0</v>
      </c>
      <c r="I50" s="308"/>
      <c r="K50" s="309">
        <v>325000</v>
      </c>
      <c r="L50" s="348">
        <f>((G50/K50)-1)</f>
        <v>-0.66708923076923077</v>
      </c>
      <c r="M50" s="202"/>
      <c r="N50" s="45"/>
    </row>
    <row r="51" spans="1:14" ht="13.5" thickBot="1" x14ac:dyDescent="0.25">
      <c r="C51" s="309"/>
      <c r="D51" s="45"/>
      <c r="E51" s="308"/>
      <c r="G51" s="309"/>
      <c r="H51" s="45"/>
      <c r="I51" s="308"/>
      <c r="K51" s="309"/>
      <c r="L51" s="308"/>
      <c r="M51" s="202"/>
      <c r="N51" s="45"/>
    </row>
    <row r="52" spans="1:14" x14ac:dyDescent="0.2">
      <c r="A52" s="322" t="s">
        <v>278</v>
      </c>
      <c r="B52" s="323"/>
      <c r="C52" s="333">
        <f>C48+C50</f>
        <v>819481</v>
      </c>
      <c r="D52" s="327">
        <f>D48+D50</f>
        <v>604189</v>
      </c>
      <c r="E52" s="355">
        <f>(C52/D52)-1</f>
        <v>0.35633220730599202</v>
      </c>
      <c r="F52" s="323"/>
      <c r="G52" s="333">
        <f>G48+G50+1</f>
        <v>1278718</v>
      </c>
      <c r="H52" s="327">
        <f>H48+H50</f>
        <v>142411</v>
      </c>
      <c r="I52" s="355">
        <f>((G52/H52)-1)</f>
        <v>7.979067628202877</v>
      </c>
      <c r="J52" s="323"/>
      <c r="K52" s="333">
        <f>K48+K50</f>
        <v>500904</v>
      </c>
      <c r="L52" s="354">
        <f>((G52/K52)-1)</f>
        <v>1.5528205005350326</v>
      </c>
      <c r="M52" s="202"/>
      <c r="N52" s="45"/>
    </row>
    <row r="53" spans="1:14" ht="13.5" thickBot="1" x14ac:dyDescent="0.25">
      <c r="A53" s="152"/>
      <c r="B53" s="328" t="s">
        <v>224</v>
      </c>
      <c r="C53" s="334">
        <f>C52/C23</f>
        <v>0.19620707017863517</v>
      </c>
      <c r="D53" s="329">
        <f>D52/D23</f>
        <v>0.15313839304158106</v>
      </c>
      <c r="E53" s="336"/>
      <c r="F53" s="337"/>
      <c r="G53" s="334">
        <f>G52/G23</f>
        <v>5.9202596191984459E-2</v>
      </c>
      <c r="H53" s="329">
        <f>H52/H23</f>
        <v>7.0861386478054591E-3</v>
      </c>
      <c r="I53" s="336"/>
      <c r="J53" s="324"/>
      <c r="K53" s="334">
        <f>K52/K23</f>
        <v>2.5928672855955546E-2</v>
      </c>
      <c r="L53" s="330"/>
      <c r="M53" s="203"/>
      <c r="N53" s="147"/>
    </row>
    <row r="54" spans="1:14" x14ac:dyDescent="0.2">
      <c r="C54" s="310"/>
      <c r="D54" s="331"/>
      <c r="E54" s="332"/>
      <c r="G54" s="104"/>
      <c r="H54" s="331"/>
      <c r="I54" s="332"/>
      <c r="K54" s="342"/>
      <c r="L54" s="343"/>
      <c r="M54" s="203"/>
      <c r="N54" s="106"/>
    </row>
    <row r="55" spans="1:14" x14ac:dyDescent="0.2">
      <c r="A55" s="136"/>
      <c r="B55" s="136"/>
      <c r="C55" s="136"/>
      <c r="D55" s="136"/>
      <c r="E55" s="136"/>
      <c r="F55" s="136"/>
      <c r="G55" s="136"/>
      <c r="H55" s="136"/>
      <c r="I55" s="136"/>
      <c r="K55" s="137"/>
      <c r="L55" s="137"/>
      <c r="M55" s="202"/>
      <c r="N55" s="106"/>
    </row>
    <row r="56" spans="1:14" ht="17.25" x14ac:dyDescent="0.35">
      <c r="C56" s="146"/>
      <c r="D56" s="136"/>
      <c r="E56" s="136"/>
      <c r="F56" s="136"/>
      <c r="G56" s="136"/>
      <c r="H56" s="136"/>
      <c r="I56" s="136"/>
      <c r="K56" s="147"/>
      <c r="L56" s="41" t="s">
        <v>198</v>
      </c>
      <c r="M56" s="204"/>
      <c r="N56" s="106"/>
    </row>
    <row r="57" spans="1:14" x14ac:dyDescent="0.2">
      <c r="C57" s="147"/>
      <c r="D57" s="363"/>
      <c r="E57" s="136"/>
      <c r="F57" s="136"/>
      <c r="G57" s="136"/>
      <c r="H57" s="363"/>
      <c r="I57" s="136"/>
      <c r="M57" s="205"/>
    </row>
    <row r="58" spans="1:14" x14ac:dyDescent="0.2">
      <c r="D58" s="136"/>
      <c r="E58" s="136"/>
      <c r="F58" s="136"/>
      <c r="G58" s="136"/>
      <c r="I58" s="136"/>
      <c r="K58" s="136"/>
      <c r="M58" s="206"/>
    </row>
    <row r="59" spans="1:14" x14ac:dyDescent="0.2">
      <c r="K59" s="363"/>
    </row>
  </sheetData>
  <mergeCells count="11">
    <mergeCell ref="K4:L4"/>
    <mergeCell ref="K5:L5"/>
    <mergeCell ref="A1:L1"/>
    <mergeCell ref="A2:L2"/>
    <mergeCell ref="A3:L3"/>
    <mergeCell ref="A6:B6"/>
    <mergeCell ref="A25:B25"/>
    <mergeCell ref="C4:E4"/>
    <mergeCell ref="C5:E5"/>
    <mergeCell ref="G4:I4"/>
    <mergeCell ref="G5:I5"/>
  </mergeCells>
  <phoneticPr fontId="41" type="noConversion"/>
  <printOptions horizontalCentered="1" verticalCentered="1"/>
  <pageMargins left="0.25" right="0.25" top="0.5" bottom="0.5" header="0.5" footer="0.5"/>
  <pageSetup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opLeftCell="A4" zoomScaleNormal="100" workbookViewId="0">
      <selection activeCell="AE23" sqref="AE23"/>
    </sheetView>
  </sheetViews>
  <sheetFormatPr defaultRowHeight="12.75" x14ac:dyDescent="0.2"/>
  <cols>
    <col min="1" max="1" width="68.140625" style="2" customWidth="1"/>
    <col min="2" max="2" width="15" style="280" bestFit="1" customWidth="1"/>
    <col min="3" max="3" width="15" style="280" customWidth="1"/>
    <col min="4" max="6" width="15" style="280" hidden="1" customWidth="1"/>
    <col min="7" max="8" width="15" style="2" hidden="1" customWidth="1"/>
    <col min="9" max="9" width="17.42578125" style="301" hidden="1" customWidth="1"/>
    <col min="10" max="10" width="15" style="301" hidden="1" customWidth="1"/>
    <col min="11" max="13" width="15" style="44" hidden="1" customWidth="1"/>
    <col min="14" max="14" width="15" style="44" customWidth="1"/>
    <col min="15" max="19" width="15" style="44" hidden="1" customWidth="1"/>
    <col min="20" max="16384" width="9.140625" style="2"/>
  </cols>
  <sheetData>
    <row r="1" spans="1:19" s="100" customFormat="1" ht="20.25" x14ac:dyDescent="0.3">
      <c r="A1" s="393" t="s">
        <v>7</v>
      </c>
      <c r="B1" s="393"/>
      <c r="C1" s="359"/>
      <c r="D1" s="284"/>
      <c r="E1" s="283"/>
      <c r="F1" s="264"/>
      <c r="G1" s="281"/>
      <c r="I1" s="283"/>
      <c r="J1" s="264"/>
      <c r="K1" s="286"/>
      <c r="L1" s="286"/>
      <c r="M1" s="286"/>
      <c r="N1" s="286"/>
      <c r="O1" s="286"/>
      <c r="P1" s="286"/>
      <c r="Q1" s="286"/>
      <c r="R1" s="286"/>
      <c r="S1" s="286"/>
    </row>
    <row r="2" spans="1:19" ht="20.25" x14ac:dyDescent="0.3">
      <c r="A2" s="393" t="s">
        <v>55</v>
      </c>
      <c r="B2" s="393"/>
      <c r="C2" s="359"/>
      <c r="D2" s="284"/>
      <c r="E2" s="281"/>
      <c r="F2" s="264"/>
      <c r="G2" s="281"/>
      <c r="I2" s="286"/>
      <c r="J2" s="264"/>
      <c r="K2" s="286"/>
      <c r="L2" s="286"/>
      <c r="M2" s="286"/>
      <c r="N2" s="286"/>
      <c r="O2" s="286"/>
      <c r="P2" s="286"/>
      <c r="Q2" s="286"/>
      <c r="R2" s="286"/>
      <c r="S2" s="286"/>
    </row>
    <row r="3" spans="1:19" ht="18.75" x14ac:dyDescent="0.3">
      <c r="A3" s="394">
        <v>42916</v>
      </c>
      <c r="B3" s="394"/>
      <c r="C3" s="360"/>
      <c r="D3" s="285"/>
      <c r="E3" s="282"/>
      <c r="F3" s="265"/>
      <c r="G3" s="282"/>
      <c r="I3" s="287"/>
      <c r="J3" s="265"/>
      <c r="K3" s="287"/>
      <c r="L3" s="287"/>
      <c r="M3" s="287"/>
      <c r="N3" s="287"/>
      <c r="O3" s="287"/>
      <c r="P3" s="287"/>
      <c r="Q3" s="287"/>
      <c r="R3" s="287"/>
      <c r="S3" s="287"/>
    </row>
    <row r="4" spans="1:19" ht="13.5" thickBot="1" x14ac:dyDescent="0.25">
      <c r="A4" s="13"/>
      <c r="B4" s="207"/>
      <c r="C4" s="207"/>
      <c r="D4" s="207"/>
      <c r="E4" s="207"/>
      <c r="F4" s="207"/>
      <c r="G4" s="106"/>
      <c r="I4" s="207"/>
      <c r="J4" s="207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5.75" x14ac:dyDescent="0.25">
      <c r="A5" s="13"/>
      <c r="B5" s="266">
        <v>2017</v>
      </c>
      <c r="C5" s="266">
        <v>2017</v>
      </c>
      <c r="D5" s="267">
        <v>2017</v>
      </c>
      <c r="E5" s="267">
        <v>2017</v>
      </c>
      <c r="F5" s="267">
        <v>2017</v>
      </c>
      <c r="G5" s="267">
        <v>2017</v>
      </c>
      <c r="H5" s="267">
        <v>2016</v>
      </c>
      <c r="I5" s="267">
        <v>2016</v>
      </c>
      <c r="J5" s="267">
        <v>2016</v>
      </c>
      <c r="K5" s="267">
        <v>2016</v>
      </c>
      <c r="L5" s="288">
        <v>2016</v>
      </c>
      <c r="M5" s="288">
        <v>2016</v>
      </c>
      <c r="N5" s="288">
        <v>2016</v>
      </c>
      <c r="O5" s="288">
        <v>2016</v>
      </c>
      <c r="P5" s="288">
        <v>2016</v>
      </c>
      <c r="Q5" s="288">
        <v>2016</v>
      </c>
      <c r="R5" s="288">
        <v>2016</v>
      </c>
      <c r="S5" s="288">
        <v>2016</v>
      </c>
    </row>
    <row r="6" spans="1:19" ht="19.5" thickBot="1" x14ac:dyDescent="0.35">
      <c r="A6" s="107" t="s">
        <v>56</v>
      </c>
      <c r="B6" s="268" t="s">
        <v>320</v>
      </c>
      <c r="C6" s="268" t="s">
        <v>98</v>
      </c>
      <c r="D6" s="269" t="s">
        <v>145</v>
      </c>
      <c r="E6" s="269" t="s">
        <v>144</v>
      </c>
      <c r="F6" s="269" t="s">
        <v>105</v>
      </c>
      <c r="G6" s="269" t="s">
        <v>104</v>
      </c>
      <c r="H6" s="269" t="s">
        <v>103</v>
      </c>
      <c r="I6" s="269" t="s">
        <v>102</v>
      </c>
      <c r="J6" s="269" t="s">
        <v>154</v>
      </c>
      <c r="K6" s="269" t="s">
        <v>153</v>
      </c>
      <c r="L6" s="289" t="s">
        <v>152</v>
      </c>
      <c r="M6" s="289" t="s">
        <v>334</v>
      </c>
      <c r="N6" s="289" t="s">
        <v>320</v>
      </c>
      <c r="O6" s="289" t="s">
        <v>98</v>
      </c>
      <c r="P6" s="289" t="s">
        <v>280</v>
      </c>
      <c r="Q6" s="289" t="s">
        <v>279</v>
      </c>
      <c r="R6" s="289" t="s">
        <v>335</v>
      </c>
      <c r="S6" s="289" t="s">
        <v>104</v>
      </c>
    </row>
    <row r="7" spans="1:19" x14ac:dyDescent="0.2">
      <c r="A7" s="13"/>
      <c r="B7" s="270"/>
      <c r="C7" s="270"/>
      <c r="D7" s="207"/>
      <c r="E7" s="207"/>
      <c r="F7" s="207"/>
      <c r="G7" s="207"/>
      <c r="H7" s="207"/>
      <c r="I7" s="207"/>
      <c r="J7" s="207"/>
      <c r="K7" s="207"/>
      <c r="L7" s="106"/>
      <c r="M7" s="106"/>
      <c r="N7" s="106"/>
      <c r="O7" s="106"/>
      <c r="P7" s="106"/>
      <c r="Q7" s="106"/>
      <c r="R7" s="106"/>
      <c r="S7" s="106"/>
    </row>
    <row r="8" spans="1:19" ht="15.75" x14ac:dyDescent="0.25">
      <c r="A8" s="6" t="s">
        <v>57</v>
      </c>
      <c r="B8" s="271">
        <v>8111574</v>
      </c>
      <c r="C8" s="271">
        <v>6516963</v>
      </c>
      <c r="D8" s="223">
        <v>8530930</v>
      </c>
      <c r="E8" s="223">
        <v>7434372</v>
      </c>
      <c r="F8" s="223">
        <v>9236179</v>
      </c>
      <c r="G8" s="223">
        <v>11835172</v>
      </c>
      <c r="H8" s="223">
        <v>11723993</v>
      </c>
      <c r="I8" s="223">
        <v>10334572</v>
      </c>
      <c r="J8" s="223">
        <v>8089109</v>
      </c>
      <c r="K8" s="223">
        <v>8444130</v>
      </c>
      <c r="L8" s="290">
        <v>6915534</v>
      </c>
      <c r="M8" s="290">
        <v>6094790</v>
      </c>
      <c r="N8" s="290">
        <v>4560242</v>
      </c>
      <c r="O8" s="290">
        <v>9156011</v>
      </c>
      <c r="P8" s="290">
        <v>7154340</v>
      </c>
      <c r="Q8" s="290">
        <v>7074944</v>
      </c>
      <c r="R8" s="290">
        <v>6074383</v>
      </c>
      <c r="S8" s="290">
        <v>8696174</v>
      </c>
    </row>
    <row r="9" spans="1:19" ht="15.75" x14ac:dyDescent="0.25">
      <c r="A9" s="6" t="s">
        <v>196</v>
      </c>
      <c r="B9" s="117">
        <v>4197124</v>
      </c>
      <c r="C9" s="117">
        <v>4846009</v>
      </c>
      <c r="D9" s="118">
        <v>3900607</v>
      </c>
      <c r="E9" s="118">
        <v>4400170</v>
      </c>
      <c r="F9" s="118">
        <v>4853907</v>
      </c>
      <c r="G9" s="118">
        <v>2612826</v>
      </c>
      <c r="H9" s="118">
        <v>3752041</v>
      </c>
      <c r="I9" s="118">
        <v>5275387</v>
      </c>
      <c r="J9" s="118">
        <v>6724270</v>
      </c>
      <c r="K9" s="118">
        <v>5776261</v>
      </c>
      <c r="L9" s="291">
        <v>7026834</v>
      </c>
      <c r="M9" s="291">
        <v>6588106</v>
      </c>
      <c r="N9" s="291">
        <v>7203201</v>
      </c>
      <c r="O9" s="291">
        <v>2645570</v>
      </c>
      <c r="P9" s="291">
        <v>3895792</v>
      </c>
      <c r="Q9" s="291">
        <v>4496266</v>
      </c>
      <c r="R9" s="291">
        <v>4711910</v>
      </c>
      <c r="S9" s="291">
        <v>1960509</v>
      </c>
    </row>
    <row r="10" spans="1:19" ht="15.75" x14ac:dyDescent="0.25">
      <c r="A10" s="6" t="s">
        <v>58</v>
      </c>
      <c r="B10" s="115">
        <v>14317462</v>
      </c>
      <c r="C10" s="115">
        <v>12731033</v>
      </c>
      <c r="D10" s="116">
        <v>12897063</v>
      </c>
      <c r="E10" s="116">
        <v>12471533</v>
      </c>
      <c r="F10" s="116">
        <v>11557499</v>
      </c>
      <c r="G10" s="116">
        <v>11458603</v>
      </c>
      <c r="H10" s="116">
        <v>10745553</v>
      </c>
      <c r="I10" s="116">
        <v>11710831</v>
      </c>
      <c r="J10" s="116">
        <v>12388464</v>
      </c>
      <c r="K10" s="116">
        <v>11796055</v>
      </c>
      <c r="L10" s="292">
        <v>11803892</v>
      </c>
      <c r="M10" s="292">
        <v>11623015</v>
      </c>
      <c r="N10" s="292">
        <v>10920897</v>
      </c>
      <c r="O10" s="292">
        <v>9426910</v>
      </c>
      <c r="P10" s="292">
        <v>9355358</v>
      </c>
      <c r="Q10" s="292">
        <v>8347099</v>
      </c>
      <c r="R10" s="292">
        <v>8817375</v>
      </c>
      <c r="S10" s="292">
        <v>10189155</v>
      </c>
    </row>
    <row r="11" spans="1:19" ht="15.75" x14ac:dyDescent="0.25">
      <c r="A11" s="6" t="s">
        <v>59</v>
      </c>
      <c r="B11" s="115">
        <v>-5053729</v>
      </c>
      <c r="C11" s="115">
        <v>-4418894</v>
      </c>
      <c r="D11" s="116">
        <v>-4219066</v>
      </c>
      <c r="E11" s="116">
        <v>-3690820</v>
      </c>
      <c r="F11" s="116">
        <v>-3475786</v>
      </c>
      <c r="G11" s="116">
        <v>-3373308</v>
      </c>
      <c r="H11" s="116">
        <v>-2988802</v>
      </c>
      <c r="I11" s="116">
        <v>-3191452</v>
      </c>
      <c r="J11" s="116">
        <v>-3497408</v>
      </c>
      <c r="K11" s="116">
        <v>-3197691</v>
      </c>
      <c r="L11" s="292">
        <v>-3163889</v>
      </c>
      <c r="M11" s="292">
        <v>-3273230</v>
      </c>
      <c r="N11" s="292">
        <v>-3417712</v>
      </c>
      <c r="O11" s="292">
        <v>-2758325</v>
      </c>
      <c r="P11" s="292">
        <v>-2700271</v>
      </c>
      <c r="Q11" s="292">
        <v>-2189252</v>
      </c>
      <c r="R11" s="292">
        <v>-2398905</v>
      </c>
      <c r="S11" s="292">
        <v>-2996035</v>
      </c>
    </row>
    <row r="12" spans="1:19" ht="15.75" x14ac:dyDescent="0.25">
      <c r="A12" s="6" t="s">
        <v>60</v>
      </c>
      <c r="B12" s="117">
        <v>-2238885</v>
      </c>
      <c r="C12" s="117">
        <v>-2223743</v>
      </c>
      <c r="D12" s="118">
        <v>-2034061</v>
      </c>
      <c r="E12" s="118">
        <v>-2136050</v>
      </c>
      <c r="F12" s="118">
        <v>-2031486</v>
      </c>
      <c r="G12" s="118">
        <v>-2162079</v>
      </c>
      <c r="H12" s="118">
        <v>-2259569</v>
      </c>
      <c r="I12" s="118">
        <v>-2818286</v>
      </c>
      <c r="J12" s="118">
        <v>-2870561</v>
      </c>
      <c r="K12" s="118">
        <v>-2780829</v>
      </c>
      <c r="L12" s="291">
        <v>-2688159</v>
      </c>
      <c r="M12" s="291">
        <v>-2436670</v>
      </c>
      <c r="N12" s="291">
        <v>-1825828</v>
      </c>
      <c r="O12" s="291">
        <v>-1519762</v>
      </c>
      <c r="P12" s="291">
        <v>-1589486</v>
      </c>
      <c r="Q12" s="291">
        <v>-1568823</v>
      </c>
      <c r="R12" s="291">
        <v>-1591480</v>
      </c>
      <c r="S12" s="291">
        <v>-1616302</v>
      </c>
    </row>
    <row r="13" spans="1:19" ht="15.75" x14ac:dyDescent="0.25">
      <c r="A13" s="6" t="s">
        <v>61</v>
      </c>
      <c r="B13" s="117">
        <f>SUM(B10:B12)</f>
        <v>7024848</v>
      </c>
      <c r="C13" s="117">
        <f>SUM(C10:C12)-1</f>
        <v>6088395</v>
      </c>
      <c r="D13" s="118">
        <f>SUM(D10:D12)+1</f>
        <v>6643937</v>
      </c>
      <c r="E13" s="118">
        <f>SUM(E10:E12)</f>
        <v>6644663</v>
      </c>
      <c r="F13" s="118">
        <f>SUM(F10:F12)</f>
        <v>6050227</v>
      </c>
      <c r="G13" s="118">
        <f>SUM(G10:G12)+1</f>
        <v>5923217</v>
      </c>
      <c r="H13" s="118">
        <f>SUM(H10:H12)+1</f>
        <v>5497183</v>
      </c>
      <c r="I13" s="118">
        <f>SUM(I10:I12)</f>
        <v>5701093</v>
      </c>
      <c r="J13" s="118">
        <f>SUM(J10:J12)</f>
        <v>6020495</v>
      </c>
      <c r="K13" s="118">
        <f>SUM(K10:K12)</f>
        <v>5817535</v>
      </c>
      <c r="L13" s="291">
        <f>SUM(L10:L12)+1</f>
        <v>5951845</v>
      </c>
      <c r="M13" s="291">
        <f>SUM(M10:M12)</f>
        <v>5913115</v>
      </c>
      <c r="N13" s="291">
        <f>SUM(N10:N12)+1</f>
        <v>5677358</v>
      </c>
      <c r="O13" s="291">
        <f>SUM(O10:O12)</f>
        <v>5148823</v>
      </c>
      <c r="P13" s="291">
        <f>SUM(P10:P12)+1</f>
        <v>5065602</v>
      </c>
      <c r="Q13" s="291">
        <f>SUM(Q10:Q12)</f>
        <v>4589024</v>
      </c>
      <c r="R13" s="291">
        <f>SUM(R10:R12)</f>
        <v>4826990</v>
      </c>
      <c r="S13" s="291">
        <f>SUM(S10:S12)</f>
        <v>5576818</v>
      </c>
    </row>
    <row r="14" spans="1:19" ht="15.75" x14ac:dyDescent="0.25">
      <c r="A14" s="6" t="s">
        <v>62</v>
      </c>
      <c r="B14" s="115">
        <v>1934225</v>
      </c>
      <c r="C14" s="115">
        <v>2059231</v>
      </c>
      <c r="D14" s="116">
        <v>2348612</v>
      </c>
      <c r="E14" s="116">
        <v>2367806</v>
      </c>
      <c r="F14" s="116">
        <v>2909578</v>
      </c>
      <c r="G14" s="116">
        <v>2873193</v>
      </c>
      <c r="H14" s="116">
        <v>2672142</v>
      </c>
      <c r="I14" s="116">
        <v>2424262</v>
      </c>
      <c r="J14" s="116">
        <v>2174473</v>
      </c>
      <c r="K14" s="116">
        <v>1898379</v>
      </c>
      <c r="L14" s="292">
        <v>1752141</v>
      </c>
      <c r="M14" s="292">
        <v>1642146</v>
      </c>
      <c r="N14" s="292">
        <v>1931635</v>
      </c>
      <c r="O14" s="292">
        <f>-554798+2537888</f>
        <v>1983090</v>
      </c>
      <c r="P14" s="292">
        <v>-141231</v>
      </c>
      <c r="Q14" s="292">
        <v>-150227</v>
      </c>
      <c r="R14" s="292">
        <v>353490</v>
      </c>
      <c r="S14" s="292">
        <f>318702+2537888</f>
        <v>2856590</v>
      </c>
    </row>
    <row r="15" spans="1:19" ht="15.75" x14ac:dyDescent="0.25">
      <c r="A15" s="6" t="s">
        <v>63</v>
      </c>
      <c r="B15" s="115">
        <v>1026671</v>
      </c>
      <c r="C15" s="115">
        <v>1027293</v>
      </c>
      <c r="D15" s="116">
        <v>1025957</v>
      </c>
      <c r="E15" s="116">
        <v>1027846</v>
      </c>
      <c r="F15" s="116">
        <v>1029446</v>
      </c>
      <c r="G15" s="116">
        <v>1026703</v>
      </c>
      <c r="H15" s="116">
        <v>1023457</v>
      </c>
      <c r="I15" s="116">
        <v>944555</v>
      </c>
      <c r="J15" s="116">
        <v>943110</v>
      </c>
      <c r="K15" s="116">
        <v>945547</v>
      </c>
      <c r="L15" s="292">
        <v>944558</v>
      </c>
      <c r="M15" s="292">
        <v>949540</v>
      </c>
      <c r="N15" s="292">
        <v>952442</v>
      </c>
      <c r="O15" s="292">
        <v>951324</v>
      </c>
      <c r="P15" s="292">
        <v>949058</v>
      </c>
      <c r="Q15" s="292">
        <v>951855</v>
      </c>
      <c r="R15" s="292">
        <v>955233</v>
      </c>
      <c r="S15" s="292">
        <v>956315</v>
      </c>
    </row>
    <row r="16" spans="1:19" ht="15.75" x14ac:dyDescent="0.25">
      <c r="A16" s="6" t="s">
        <v>64</v>
      </c>
      <c r="B16" s="117">
        <v>443821</v>
      </c>
      <c r="C16" s="117">
        <v>458534</v>
      </c>
      <c r="D16" s="118">
        <v>429376</v>
      </c>
      <c r="E16" s="118">
        <v>455967</v>
      </c>
      <c r="F16" s="118">
        <v>335550</v>
      </c>
      <c r="G16" s="118">
        <v>351622</v>
      </c>
      <c r="H16" s="118">
        <v>319155</v>
      </c>
      <c r="I16" s="118">
        <v>348389</v>
      </c>
      <c r="J16" s="118">
        <v>407484</v>
      </c>
      <c r="K16" s="118">
        <v>473579</v>
      </c>
      <c r="L16" s="291">
        <v>392794</v>
      </c>
      <c r="M16" s="291">
        <v>457595</v>
      </c>
      <c r="N16" s="291">
        <v>449042</v>
      </c>
      <c r="O16" s="291">
        <v>470314</v>
      </c>
      <c r="P16" s="291">
        <v>464112</v>
      </c>
      <c r="Q16" s="291">
        <v>438750</v>
      </c>
      <c r="R16" s="291">
        <v>285891</v>
      </c>
      <c r="S16" s="291">
        <v>311397</v>
      </c>
    </row>
    <row r="17" spans="1:19" ht="15.75" x14ac:dyDescent="0.25">
      <c r="A17" s="108" t="s">
        <v>65</v>
      </c>
      <c r="B17" s="272">
        <f>B8+B9+B13+B14+B15+B16</f>
        <v>22738263</v>
      </c>
      <c r="C17" s="272">
        <f>C8+C9+C13+C14+C15+C16</f>
        <v>20996425</v>
      </c>
      <c r="D17" s="224">
        <f>D8+D9+D13+D14+D15+D16+1</f>
        <v>22879420</v>
      </c>
      <c r="E17" s="224">
        <f>E8+E9+E13+E14+E15+E16+1</f>
        <v>22330825</v>
      </c>
      <c r="F17" s="224">
        <f>F8+F9+F13+F14+F15+F16+1</f>
        <v>24414888</v>
      </c>
      <c r="G17" s="224">
        <f>G8+G9+G13+G14+G15+G16</f>
        <v>24622733</v>
      </c>
      <c r="H17" s="224">
        <f>H8+H9+H13+H14+H15+H16</f>
        <v>24987971</v>
      </c>
      <c r="I17" s="224">
        <f>I8+I9+I13+I14+I15+I16+1</f>
        <v>25028259</v>
      </c>
      <c r="J17" s="224">
        <f>J8+J9+J13+J14+J15+J16</f>
        <v>24358941</v>
      </c>
      <c r="K17" s="224">
        <f>K8+K9+K13+K14+K15+K16</f>
        <v>23355431</v>
      </c>
      <c r="L17" s="293">
        <f>L8+L9+L13+L14+L15+L16-1</f>
        <v>22983705</v>
      </c>
      <c r="M17" s="293">
        <f>M8+M9+M13+M14+M15+M16</f>
        <v>21645292</v>
      </c>
      <c r="N17" s="293">
        <f>N8+N9+N13+N14+N15+N16</f>
        <v>20773920</v>
      </c>
      <c r="O17" s="293">
        <f>O8+O9+O13+O14+O15+O16-2</f>
        <v>20355130</v>
      </c>
      <c r="P17" s="293">
        <f>P8+P9+P13+P14+P15+P16</f>
        <v>17387673</v>
      </c>
      <c r="Q17" s="293">
        <f>Q8+Q9+Q13+Q14+Q15+Q16+1</f>
        <v>17400613</v>
      </c>
      <c r="R17" s="293">
        <f>R8+R9+R13+R14+R15+R16-1</f>
        <v>17207896</v>
      </c>
      <c r="S17" s="293">
        <f>S8+S9+S13+S14+S15+S16</f>
        <v>20357803</v>
      </c>
    </row>
    <row r="18" spans="1:19" ht="15.75" x14ac:dyDescent="0.25">
      <c r="A18" s="109"/>
      <c r="B18" s="272"/>
      <c r="C18" s="272"/>
      <c r="D18" s="224"/>
      <c r="E18" s="224"/>
      <c r="F18" s="224"/>
      <c r="G18" s="224"/>
      <c r="H18" s="224"/>
      <c r="I18" s="224"/>
      <c r="J18" s="224"/>
      <c r="K18" s="224"/>
      <c r="L18" s="293"/>
      <c r="M18" s="293"/>
      <c r="N18" s="293"/>
      <c r="O18" s="293"/>
      <c r="P18" s="293"/>
      <c r="Q18" s="293"/>
      <c r="R18" s="293"/>
      <c r="S18" s="293"/>
    </row>
    <row r="19" spans="1:19" ht="15.75" x14ac:dyDescent="0.25">
      <c r="A19" s="6" t="s">
        <v>66</v>
      </c>
      <c r="B19" s="115">
        <v>38446815</v>
      </c>
      <c r="C19" s="115">
        <v>38420624</v>
      </c>
      <c r="D19" s="116">
        <v>38097590</v>
      </c>
      <c r="E19" s="116">
        <v>38001861</v>
      </c>
      <c r="F19" s="116">
        <v>37950426</v>
      </c>
      <c r="G19" s="116">
        <v>37944618</v>
      </c>
      <c r="H19" s="116">
        <v>37856479</v>
      </c>
      <c r="I19" s="116">
        <v>38794079</v>
      </c>
      <c r="J19" s="116">
        <v>38794079</v>
      </c>
      <c r="K19" s="116">
        <v>38765379</v>
      </c>
      <c r="L19" s="292">
        <v>38759539</v>
      </c>
      <c r="M19" s="292">
        <v>38674780</v>
      </c>
      <c r="N19" s="292">
        <v>38511666</v>
      </c>
      <c r="O19" s="292">
        <v>38499564</v>
      </c>
      <c r="P19" s="292">
        <v>38347741</v>
      </c>
      <c r="Q19" s="292">
        <v>38273912</v>
      </c>
      <c r="R19" s="292">
        <v>38232362</v>
      </c>
      <c r="S19" s="292">
        <v>37859715</v>
      </c>
    </row>
    <row r="20" spans="1:19" ht="15.75" x14ac:dyDescent="0.25">
      <c r="A20" s="6" t="s">
        <v>6</v>
      </c>
      <c r="B20" s="115">
        <v>3337150</v>
      </c>
      <c r="C20" s="115">
        <v>3331109</v>
      </c>
      <c r="D20" s="116">
        <v>3324838</v>
      </c>
      <c r="E20" s="116">
        <v>3324838</v>
      </c>
      <c r="F20" s="116">
        <v>3324838</v>
      </c>
      <c r="G20" s="116">
        <v>3324838</v>
      </c>
      <c r="H20" s="116">
        <v>3324838</v>
      </c>
      <c r="I20" s="116">
        <v>3389419</v>
      </c>
      <c r="J20" s="116">
        <v>3389419</v>
      </c>
      <c r="K20" s="116">
        <v>3388801</v>
      </c>
      <c r="L20" s="292">
        <v>3368435</v>
      </c>
      <c r="M20" s="292">
        <v>3368435</v>
      </c>
      <c r="N20" s="292">
        <v>3354071</v>
      </c>
      <c r="O20" s="292">
        <v>3347186</v>
      </c>
      <c r="P20" s="292">
        <v>3315127</v>
      </c>
      <c r="Q20" s="292">
        <v>3315127</v>
      </c>
      <c r="R20" s="292">
        <v>3315127</v>
      </c>
      <c r="S20" s="292">
        <v>3315127</v>
      </c>
    </row>
    <row r="21" spans="1:19" ht="15.75" x14ac:dyDescent="0.25">
      <c r="A21" s="6" t="s">
        <v>67</v>
      </c>
      <c r="B21" s="115">
        <v>503029</v>
      </c>
      <c r="C21" s="115">
        <v>503029</v>
      </c>
      <c r="D21" s="116">
        <v>503029</v>
      </c>
      <c r="E21" s="116">
        <v>503029</v>
      </c>
      <c r="F21" s="116">
        <v>503029</v>
      </c>
      <c r="G21" s="116">
        <v>503029</v>
      </c>
      <c r="H21" s="116">
        <v>503029</v>
      </c>
      <c r="I21" s="116">
        <v>503029</v>
      </c>
      <c r="J21" s="116">
        <v>503029</v>
      </c>
      <c r="K21" s="116">
        <v>503029</v>
      </c>
      <c r="L21" s="292">
        <v>503029</v>
      </c>
      <c r="M21" s="292">
        <v>503029</v>
      </c>
      <c r="N21" s="292">
        <v>503029</v>
      </c>
      <c r="O21" s="292">
        <v>503029</v>
      </c>
      <c r="P21" s="292">
        <v>503029</v>
      </c>
      <c r="Q21" s="292">
        <v>503029</v>
      </c>
      <c r="R21" s="292">
        <v>503029</v>
      </c>
      <c r="S21" s="292">
        <v>503029</v>
      </c>
    </row>
    <row r="22" spans="1:19" ht="15.75" x14ac:dyDescent="0.25">
      <c r="A22" s="6" t="s">
        <v>68</v>
      </c>
      <c r="B22" s="117">
        <v>9867671</v>
      </c>
      <c r="C22" s="117">
        <v>9867706</v>
      </c>
      <c r="D22" s="118">
        <v>9868336</v>
      </c>
      <c r="E22" s="118">
        <v>9787847</v>
      </c>
      <c r="F22" s="118">
        <v>9769292</v>
      </c>
      <c r="G22" s="118">
        <v>9759311</v>
      </c>
      <c r="H22" s="118">
        <v>9732846</v>
      </c>
      <c r="I22" s="118">
        <v>9736953</v>
      </c>
      <c r="J22" s="118">
        <v>9736953</v>
      </c>
      <c r="K22" s="118">
        <v>9736953</v>
      </c>
      <c r="L22" s="291">
        <v>9736953</v>
      </c>
      <c r="M22" s="291">
        <v>9736953</v>
      </c>
      <c r="N22" s="291">
        <v>9736953</v>
      </c>
      <c r="O22" s="291">
        <v>9736953</v>
      </c>
      <c r="P22" s="291">
        <v>9731355</v>
      </c>
      <c r="Q22" s="291">
        <v>9728599</v>
      </c>
      <c r="R22" s="291">
        <v>9728599</v>
      </c>
      <c r="S22" s="291">
        <v>9728599</v>
      </c>
    </row>
    <row r="23" spans="1:19" ht="15.75" x14ac:dyDescent="0.25">
      <c r="A23" s="6"/>
      <c r="B23" s="115">
        <f>SUM(B19:B22)</f>
        <v>52154665</v>
      </c>
      <c r="C23" s="115">
        <f>SUM(C19:C22)</f>
        <v>52122468</v>
      </c>
      <c r="D23" s="116">
        <f>SUM(D19:D22)-2</f>
        <v>51793791</v>
      </c>
      <c r="E23" s="116">
        <f>SUM(E19:E22)-1</f>
        <v>51617574</v>
      </c>
      <c r="F23" s="116">
        <f>SUM(F19:F22)</f>
        <v>51547585</v>
      </c>
      <c r="G23" s="116">
        <f>SUM(G19:G22)-1</f>
        <v>51531795</v>
      </c>
      <c r="H23" s="116">
        <f>SUM(H19:H22)-2</f>
        <v>51417190</v>
      </c>
      <c r="I23" s="116">
        <f>SUM(I19:I22)-1</f>
        <v>52423479</v>
      </c>
      <c r="J23" s="116">
        <f>SUM(J19:J22)-1</f>
        <v>52423479</v>
      </c>
      <c r="K23" s="116">
        <f>SUM(K19:K22)-1</f>
        <v>52394161</v>
      </c>
      <c r="L23" s="292">
        <f>SUM(L19:L22)-1</f>
        <v>52367955</v>
      </c>
      <c r="M23" s="292">
        <f>SUM(M19:M22)-2</f>
        <v>52283195</v>
      </c>
      <c r="N23" s="292">
        <f>SUM(N19:N22)-1</f>
        <v>52105718</v>
      </c>
      <c r="O23" s="292">
        <f>SUM(O19:O22)-1</f>
        <v>52086731</v>
      </c>
      <c r="P23" s="292">
        <f>SUM(P19:P22)-1</f>
        <v>51897251</v>
      </c>
      <c r="Q23" s="292">
        <f>SUM(Q19:Q22)-1</f>
        <v>51820666</v>
      </c>
      <c r="R23" s="292">
        <f>SUM(R19:R22)</f>
        <v>51779117</v>
      </c>
      <c r="S23" s="292">
        <f>SUM(S19:S22)-1</f>
        <v>51406469</v>
      </c>
    </row>
    <row r="24" spans="1:19" ht="15.75" x14ac:dyDescent="0.25">
      <c r="A24" s="6" t="s">
        <v>69</v>
      </c>
      <c r="B24" s="115">
        <v>-22146806</v>
      </c>
      <c r="C24" s="115">
        <v>-21952358</v>
      </c>
      <c r="D24" s="116">
        <v>-21756899</v>
      </c>
      <c r="E24" s="116">
        <v>-21569350</v>
      </c>
      <c r="F24" s="116">
        <v>-21380453</v>
      </c>
      <c r="G24" s="116">
        <v>-21179954</v>
      </c>
      <c r="H24" s="116">
        <v>-20978481</v>
      </c>
      <c r="I24" s="116">
        <v>-22278126</v>
      </c>
      <c r="J24" s="116">
        <v>-22080143</v>
      </c>
      <c r="K24" s="116">
        <v>-21876470</v>
      </c>
      <c r="L24" s="292">
        <v>-21671988</v>
      </c>
      <c r="M24" s="292">
        <v>-21467272</v>
      </c>
      <c r="N24" s="292">
        <v>-21261901</v>
      </c>
      <c r="O24" s="292">
        <v>-21058224</v>
      </c>
      <c r="P24" s="292">
        <v>-20857862</v>
      </c>
      <c r="Q24" s="292">
        <v>-20658826</v>
      </c>
      <c r="R24" s="292">
        <v>-20440668</v>
      </c>
      <c r="S24" s="292">
        <v>-20225081</v>
      </c>
    </row>
    <row r="25" spans="1:19" ht="15.75" x14ac:dyDescent="0.25">
      <c r="A25" s="6" t="s">
        <v>70</v>
      </c>
      <c r="B25" s="117">
        <v>622771</v>
      </c>
      <c r="C25" s="117">
        <v>612377</v>
      </c>
      <c r="D25" s="118">
        <v>920358</v>
      </c>
      <c r="E25" s="118">
        <v>708391</v>
      </c>
      <c r="F25" s="118">
        <v>701780</v>
      </c>
      <c r="G25" s="118">
        <v>678618</v>
      </c>
      <c r="H25" s="118">
        <v>525662</v>
      </c>
      <c r="I25" s="118">
        <v>895448</v>
      </c>
      <c r="J25" s="118">
        <v>558590</v>
      </c>
      <c r="K25" s="118">
        <v>462647</v>
      </c>
      <c r="L25" s="291">
        <v>446799</v>
      </c>
      <c r="M25" s="291">
        <v>415369</v>
      </c>
      <c r="N25" s="291">
        <v>408689</v>
      </c>
      <c r="O25" s="291">
        <v>377311</v>
      </c>
      <c r="P25" s="291">
        <v>399833</v>
      </c>
      <c r="Q25" s="291">
        <v>390068</v>
      </c>
      <c r="R25" s="291">
        <v>380303</v>
      </c>
      <c r="S25" s="291">
        <v>380303</v>
      </c>
    </row>
    <row r="26" spans="1:19" ht="15.75" x14ac:dyDescent="0.25">
      <c r="A26" s="41" t="s">
        <v>71</v>
      </c>
      <c r="B26" s="110">
        <f>SUM(B23:B25)</f>
        <v>30630630</v>
      </c>
      <c r="C26" s="110">
        <f>SUM(C23:C25)</f>
        <v>30782487</v>
      </c>
      <c r="D26" s="111">
        <f>SUM(D23:D25)+1</f>
        <v>30957251</v>
      </c>
      <c r="E26" s="111">
        <f>SUM(E23:E25)</f>
        <v>30756615</v>
      </c>
      <c r="F26" s="111">
        <f>SUM(F23:F25)</f>
        <v>30868912</v>
      </c>
      <c r="G26" s="111">
        <f>SUM(G23:G25)</f>
        <v>31030459</v>
      </c>
      <c r="H26" s="111">
        <f>SUM(H23:H25)</f>
        <v>30964371</v>
      </c>
      <c r="I26" s="111">
        <f>SUM(I23:I25)+1</f>
        <v>31040802</v>
      </c>
      <c r="J26" s="111">
        <f>SUM(J23:J25)+1</f>
        <v>30901927</v>
      </c>
      <c r="K26" s="111">
        <f>SUM(K23:K25)</f>
        <v>30980338</v>
      </c>
      <c r="L26" s="294">
        <f>SUM(L23:L25)</f>
        <v>31142766</v>
      </c>
      <c r="M26" s="294">
        <f>SUM(M23:M25)</f>
        <v>31231292</v>
      </c>
      <c r="N26" s="294">
        <f>SUM(N23:N25)</f>
        <v>31252506</v>
      </c>
      <c r="O26" s="294">
        <f>SUM(O23:O25)-1</f>
        <v>31405817</v>
      </c>
      <c r="P26" s="294">
        <f>SUM(P23:P25)+1</f>
        <v>31439223</v>
      </c>
      <c r="Q26" s="294">
        <f>SUM(Q23:Q25)+1</f>
        <v>31551909</v>
      </c>
      <c r="R26" s="294">
        <f>SUM(R23:R25)</f>
        <v>31718752</v>
      </c>
      <c r="S26" s="294">
        <f>SUM(S23:S25)</f>
        <v>31561691</v>
      </c>
    </row>
    <row r="27" spans="1:19" ht="15.75" x14ac:dyDescent="0.25">
      <c r="A27" s="7"/>
      <c r="B27" s="112"/>
      <c r="C27" s="112"/>
      <c r="D27" s="113"/>
      <c r="E27" s="113"/>
      <c r="F27" s="113"/>
      <c r="G27" s="113"/>
      <c r="H27" s="113"/>
      <c r="I27" s="113"/>
      <c r="J27" s="113"/>
      <c r="K27" s="113"/>
      <c r="L27" s="295"/>
      <c r="M27" s="295"/>
      <c r="N27" s="295"/>
      <c r="O27" s="295"/>
      <c r="P27" s="295"/>
      <c r="Q27" s="295"/>
      <c r="R27" s="295"/>
      <c r="S27" s="295"/>
    </row>
    <row r="28" spans="1:19" ht="15.75" x14ac:dyDescent="0.25">
      <c r="A28" s="6" t="s">
        <v>72</v>
      </c>
      <c r="B28" s="273">
        <v>1423366</v>
      </c>
      <c r="C28" s="273">
        <v>1423137</v>
      </c>
      <c r="D28" s="225">
        <v>1422884</v>
      </c>
      <c r="E28" s="225">
        <v>1422670</v>
      </c>
      <c r="F28" s="225">
        <v>1422434</v>
      </c>
      <c r="G28" s="225">
        <v>1422220</v>
      </c>
      <c r="H28" s="225">
        <v>1421976</v>
      </c>
      <c r="I28" s="225">
        <v>1421746</v>
      </c>
      <c r="J28" s="225">
        <v>1421517</v>
      </c>
      <c r="K28" s="225">
        <v>1421052</v>
      </c>
      <c r="L28" s="296">
        <v>1421052</v>
      </c>
      <c r="M28" s="296">
        <v>1420800</v>
      </c>
      <c r="N28" s="296">
        <v>1420579</v>
      </c>
      <c r="O28" s="296">
        <v>1420350</v>
      </c>
      <c r="P28" s="296">
        <v>1420106</v>
      </c>
      <c r="Q28" s="296">
        <v>1419885</v>
      </c>
      <c r="R28" s="296">
        <v>28468</v>
      </c>
      <c r="S28" s="296">
        <v>1164620</v>
      </c>
    </row>
    <row r="29" spans="1:19" ht="15.75" x14ac:dyDescent="0.25">
      <c r="A29" s="6" t="s">
        <v>73</v>
      </c>
      <c r="B29" s="115">
        <v>5720</v>
      </c>
      <c r="C29" s="115">
        <v>5720</v>
      </c>
      <c r="D29" s="116">
        <v>5720</v>
      </c>
      <c r="E29" s="116">
        <v>5720</v>
      </c>
      <c r="F29" s="116">
        <v>5720</v>
      </c>
      <c r="G29" s="116">
        <v>5720</v>
      </c>
      <c r="H29" s="116">
        <v>5720</v>
      </c>
      <c r="I29" s="116">
        <v>5719</v>
      </c>
      <c r="J29" s="116">
        <v>5719</v>
      </c>
      <c r="K29" s="116">
        <v>5719</v>
      </c>
      <c r="L29" s="292">
        <v>5719</v>
      </c>
      <c r="M29" s="292">
        <v>5719</v>
      </c>
      <c r="N29" s="292">
        <v>5717</v>
      </c>
      <c r="O29" s="292">
        <v>5717</v>
      </c>
      <c r="P29" s="292">
        <v>5717</v>
      </c>
      <c r="Q29" s="292">
        <v>5717</v>
      </c>
      <c r="R29" s="292">
        <v>5717</v>
      </c>
      <c r="S29" s="292">
        <v>5717</v>
      </c>
    </row>
    <row r="30" spans="1:19" ht="15.75" x14ac:dyDescent="0.25">
      <c r="A30" s="6" t="s">
        <v>74</v>
      </c>
      <c r="B30" s="117">
        <v>0</v>
      </c>
      <c r="C30" s="117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291">
        <v>0</v>
      </c>
      <c r="M30" s="291">
        <v>0</v>
      </c>
      <c r="N30" s="291">
        <v>0</v>
      </c>
      <c r="O30" s="291">
        <v>0</v>
      </c>
      <c r="P30" s="291">
        <v>0</v>
      </c>
      <c r="Q30" s="291">
        <v>0</v>
      </c>
      <c r="R30" s="291">
        <v>3106899</v>
      </c>
      <c r="S30" s="291">
        <v>2952190</v>
      </c>
    </row>
    <row r="31" spans="1:19" ht="15.75" x14ac:dyDescent="0.25">
      <c r="A31" s="41" t="s">
        <v>75</v>
      </c>
      <c r="B31" s="110">
        <f>SUM(B28:B30)</f>
        <v>1429086</v>
      </c>
      <c r="C31" s="110">
        <f>SUM(C28:C30)</f>
        <v>1428857</v>
      </c>
      <c r="D31" s="111">
        <f>SUM(D28:D30)+1</f>
        <v>1428605</v>
      </c>
      <c r="E31" s="111">
        <f>SUM(E28:E30)+1</f>
        <v>1428391</v>
      </c>
      <c r="F31" s="111">
        <f>SUM(F28:F30)</f>
        <v>1428154</v>
      </c>
      <c r="G31" s="111">
        <f>SUM(G28:G30)</f>
        <v>1427940</v>
      </c>
      <c r="H31" s="111">
        <f>SUM(H28:H30)</f>
        <v>1427696</v>
      </c>
      <c r="I31" s="111">
        <f>SUM(I28:I30)</f>
        <v>1427465</v>
      </c>
      <c r="J31" s="111">
        <f t="shared" ref="J31:S31" si="0">SUM(J28:J30)</f>
        <v>1427236</v>
      </c>
      <c r="K31" s="111">
        <f t="shared" si="0"/>
        <v>1426771</v>
      </c>
      <c r="L31" s="111">
        <f t="shared" si="0"/>
        <v>1426771</v>
      </c>
      <c r="M31" s="111">
        <f t="shared" si="0"/>
        <v>1426519</v>
      </c>
      <c r="N31" s="111">
        <f t="shared" si="0"/>
        <v>1426296</v>
      </c>
      <c r="O31" s="111">
        <f t="shared" si="0"/>
        <v>1426067</v>
      </c>
      <c r="P31" s="111">
        <f t="shared" si="0"/>
        <v>1425823</v>
      </c>
      <c r="Q31" s="111">
        <f t="shared" si="0"/>
        <v>1425602</v>
      </c>
      <c r="R31" s="111">
        <f t="shared" si="0"/>
        <v>3141084</v>
      </c>
      <c r="S31" s="111">
        <f t="shared" si="0"/>
        <v>4122527</v>
      </c>
    </row>
    <row r="32" spans="1:19" ht="15.75" x14ac:dyDescent="0.25">
      <c r="A32" s="7"/>
      <c r="B32" s="112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</row>
    <row r="33" spans="1:19" ht="15.75" x14ac:dyDescent="0.25">
      <c r="A33" s="6" t="s">
        <v>231</v>
      </c>
      <c r="B33" s="273">
        <v>28484</v>
      </c>
      <c r="C33" s="273">
        <v>30930</v>
      </c>
      <c r="D33" s="225">
        <v>33368</v>
      </c>
      <c r="E33" s="225">
        <v>35797</v>
      </c>
      <c r="F33" s="225">
        <v>39427</v>
      </c>
      <c r="G33" s="225">
        <v>41837</v>
      </c>
      <c r="H33" s="225">
        <v>44239</v>
      </c>
      <c r="I33" s="225">
        <v>46633</v>
      </c>
      <c r="J33" s="225">
        <v>49020</v>
      </c>
      <c r="K33" s="225">
        <v>51399</v>
      </c>
      <c r="L33" s="296">
        <v>54952</v>
      </c>
      <c r="M33" s="296">
        <v>57311</v>
      </c>
      <c r="N33" s="296">
        <v>59663</v>
      </c>
      <c r="O33" s="296">
        <v>62007</v>
      </c>
      <c r="P33" s="296">
        <v>64343</v>
      </c>
      <c r="Q33" s="296">
        <v>66672</v>
      </c>
      <c r="R33" s="296">
        <v>70151</v>
      </c>
      <c r="S33" s="296">
        <v>72461</v>
      </c>
    </row>
    <row r="34" spans="1:19" ht="15.75" x14ac:dyDescent="0.25">
      <c r="A34" s="6" t="s">
        <v>197</v>
      </c>
      <c r="B34" s="273">
        <v>7638508</v>
      </c>
      <c r="C34" s="273">
        <v>8609288</v>
      </c>
      <c r="D34" s="225">
        <v>8055161</v>
      </c>
      <c r="E34" s="225">
        <v>8601157</v>
      </c>
      <c r="F34" s="225">
        <v>6857865</v>
      </c>
      <c r="G34" s="225">
        <v>6359687</v>
      </c>
      <c r="H34" s="225">
        <v>6433462</v>
      </c>
      <c r="I34" s="225">
        <v>6789022</v>
      </c>
      <c r="J34" s="225">
        <v>6792230</v>
      </c>
      <c r="K34" s="225">
        <v>6790914</v>
      </c>
      <c r="L34" s="296">
        <v>6536978</v>
      </c>
      <c r="M34" s="296">
        <v>6787591</v>
      </c>
      <c r="N34" s="296">
        <v>6236867</v>
      </c>
      <c r="O34" s="296">
        <v>6236553</v>
      </c>
      <c r="P34" s="296">
        <v>6184493</v>
      </c>
      <c r="Q34" s="296">
        <v>6178767</v>
      </c>
      <c r="R34" s="296">
        <v>5075922</v>
      </c>
      <c r="S34" s="296">
        <v>3018751</v>
      </c>
    </row>
    <row r="35" spans="1:19" ht="15.75" hidden="1" x14ac:dyDescent="0.25">
      <c r="A35" s="6" t="s">
        <v>76</v>
      </c>
      <c r="B35" s="274"/>
      <c r="C35" s="274"/>
      <c r="D35" s="261"/>
      <c r="E35" s="261"/>
      <c r="F35" s="261"/>
      <c r="G35" s="261"/>
      <c r="H35" s="261"/>
      <c r="I35" s="261"/>
      <c r="J35" s="261"/>
      <c r="K35" s="261"/>
      <c r="L35" s="297"/>
      <c r="M35" s="297"/>
      <c r="N35" s="297"/>
      <c r="O35" s="297"/>
      <c r="P35" s="297"/>
      <c r="Q35" s="297"/>
      <c r="R35" s="297"/>
      <c r="S35" s="297"/>
    </row>
    <row r="36" spans="1:19" ht="15.75" x14ac:dyDescent="0.25">
      <c r="A36" s="41" t="s">
        <v>77</v>
      </c>
      <c r="B36" s="272">
        <f>SUM(B33:B35)</f>
        <v>7666992</v>
      </c>
      <c r="C36" s="272">
        <f>SUM(C33:C35)</f>
        <v>8640218</v>
      </c>
      <c r="D36" s="224">
        <f>SUM(D33:D35)-1</f>
        <v>8088528</v>
      </c>
      <c r="E36" s="224">
        <f>SUM(E33:E35)</f>
        <v>8636954</v>
      </c>
      <c r="F36" s="224">
        <f>SUM(F33:F35)</f>
        <v>6897292</v>
      </c>
      <c r="G36" s="224">
        <f>SUM(G33:G35)</f>
        <v>6401524</v>
      </c>
      <c r="H36" s="224">
        <f>SUM(H33:H35)</f>
        <v>6477701</v>
      </c>
      <c r="I36" s="224">
        <f>SUM(I33:I35)</f>
        <v>6835655</v>
      </c>
      <c r="J36" s="224">
        <f t="shared" ref="J36:O36" si="1">SUM(J33:J35)</f>
        <v>6841250</v>
      </c>
      <c r="K36" s="224">
        <f t="shared" si="1"/>
        <v>6842313</v>
      </c>
      <c r="L36" s="293">
        <f t="shared" si="1"/>
        <v>6591930</v>
      </c>
      <c r="M36" s="293">
        <f t="shared" si="1"/>
        <v>6844902</v>
      </c>
      <c r="N36" s="293">
        <f t="shared" si="1"/>
        <v>6296530</v>
      </c>
      <c r="O36" s="293">
        <f t="shared" si="1"/>
        <v>6298560</v>
      </c>
      <c r="P36" s="293">
        <f>SUM(P33:P35)+1</f>
        <v>6248837</v>
      </c>
      <c r="Q36" s="293">
        <f t="shared" ref="Q36:S36" si="2">SUM(Q33:Q35)</f>
        <v>6245439</v>
      </c>
      <c r="R36" s="293">
        <f t="shared" si="2"/>
        <v>5146073</v>
      </c>
      <c r="S36" s="293">
        <f t="shared" si="2"/>
        <v>3091212</v>
      </c>
    </row>
    <row r="37" spans="1:19" ht="15.75" x14ac:dyDescent="0.25">
      <c r="A37" s="7"/>
      <c r="B37" s="112"/>
      <c r="C37" s="112"/>
      <c r="D37" s="113"/>
      <c r="E37" s="113"/>
      <c r="F37" s="113"/>
      <c r="G37" s="113"/>
      <c r="H37" s="113"/>
      <c r="I37" s="113"/>
      <c r="J37" s="113"/>
      <c r="K37" s="113"/>
      <c r="L37" s="295"/>
      <c r="M37" s="295"/>
      <c r="N37" s="295"/>
      <c r="O37" s="295"/>
      <c r="P37" s="295"/>
      <c r="Q37" s="295"/>
      <c r="R37" s="295"/>
      <c r="S37" s="295"/>
    </row>
    <row r="38" spans="1:19" ht="16.5" thickBot="1" x14ac:dyDescent="0.3">
      <c r="A38" s="41" t="s">
        <v>78</v>
      </c>
      <c r="B38" s="275">
        <f>B17+B26+B31+B36</f>
        <v>62464971</v>
      </c>
      <c r="C38" s="275">
        <f>C17+C26+C31+C36</f>
        <v>61847987</v>
      </c>
      <c r="D38" s="262">
        <f>D17+D26+D31+D36-2</f>
        <v>63353802</v>
      </c>
      <c r="E38" s="262">
        <f>E17+E26+E31+E36-1</f>
        <v>63152784</v>
      </c>
      <c r="F38" s="262">
        <f>F17+F26+F31+F36-1</f>
        <v>63609245</v>
      </c>
      <c r="G38" s="262">
        <f>G17+G26+G31+G36</f>
        <v>63482656</v>
      </c>
      <c r="H38" s="262">
        <f>H17+H26+H31+H36</f>
        <v>63857739</v>
      </c>
      <c r="I38" s="262">
        <f>I17+I26+I31+I36</f>
        <v>64332181</v>
      </c>
      <c r="J38" s="262">
        <f>J17+J26+J31+J36</f>
        <v>63529354</v>
      </c>
      <c r="K38" s="262">
        <f>K17+K26+K31+K36-2</f>
        <v>62604851</v>
      </c>
      <c r="L38" s="298">
        <f>L17+L26+L31+L36-1</f>
        <v>62145171</v>
      </c>
      <c r="M38" s="298">
        <f>M17+M26+M31+M36</f>
        <v>61148005</v>
      </c>
      <c r="N38" s="298">
        <f>N17+N26+N31+N36-1</f>
        <v>59749251</v>
      </c>
      <c r="O38" s="298">
        <f>O17+O26+O31+O36</f>
        <v>59485574</v>
      </c>
      <c r="P38" s="298">
        <f>P17+P26+P31+P36-1</f>
        <v>56501555</v>
      </c>
      <c r="Q38" s="298">
        <f>Q17+Q26+Q31+Q36</f>
        <v>56623563</v>
      </c>
      <c r="R38" s="298">
        <f>R17+R26+R31+R36-2</f>
        <v>57213803</v>
      </c>
      <c r="S38" s="298">
        <f>S17+S26+S31+S36</f>
        <v>59133233</v>
      </c>
    </row>
    <row r="39" spans="1:19" ht="13.5" thickTop="1" x14ac:dyDescent="0.2">
      <c r="A39" s="13"/>
      <c r="B39" s="276"/>
      <c r="C39" s="276"/>
      <c r="D39" s="263"/>
      <c r="E39" s="263"/>
      <c r="F39" s="263"/>
      <c r="G39" s="263"/>
      <c r="H39" s="263"/>
      <c r="I39" s="263"/>
      <c r="J39" s="263"/>
      <c r="K39" s="263"/>
      <c r="L39" s="299"/>
      <c r="M39" s="299"/>
      <c r="N39" s="299"/>
      <c r="O39" s="299"/>
      <c r="P39" s="299"/>
      <c r="Q39" s="299"/>
      <c r="R39" s="299"/>
      <c r="S39" s="299"/>
    </row>
    <row r="40" spans="1:19" ht="18.75" x14ac:dyDescent="0.3">
      <c r="A40" s="114" t="s">
        <v>79</v>
      </c>
      <c r="B40" s="276"/>
      <c r="C40" s="276"/>
      <c r="D40" s="263"/>
      <c r="E40" s="263"/>
      <c r="F40" s="263"/>
      <c r="G40" s="263"/>
      <c r="H40" s="263"/>
      <c r="I40" s="263"/>
      <c r="J40" s="263"/>
      <c r="K40" s="263"/>
      <c r="L40" s="299"/>
      <c r="M40" s="299"/>
      <c r="N40" s="299"/>
      <c r="O40" s="299"/>
      <c r="P40" s="299"/>
      <c r="Q40" s="299"/>
      <c r="R40" s="299"/>
      <c r="S40" s="299"/>
    </row>
    <row r="41" spans="1:19" ht="15.75" x14ac:dyDescent="0.25">
      <c r="A41" s="6" t="s">
        <v>132</v>
      </c>
      <c r="B41" s="115">
        <v>0</v>
      </c>
      <c r="C41" s="115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v>855000</v>
      </c>
      <c r="S41" s="116">
        <v>855000</v>
      </c>
    </row>
    <row r="42" spans="1:19" ht="15.75" x14ac:dyDescent="0.25">
      <c r="A42" s="6" t="s">
        <v>80</v>
      </c>
      <c r="B42" s="115">
        <v>1123650</v>
      </c>
      <c r="C42" s="115">
        <v>1149616</v>
      </c>
      <c r="D42" s="116">
        <v>1175520</v>
      </c>
      <c r="E42" s="116">
        <v>1201358</v>
      </c>
      <c r="F42" s="116">
        <v>1227143</v>
      </c>
      <c r="G42" s="116">
        <v>1267328</v>
      </c>
      <c r="H42" s="116">
        <v>1263582</v>
      </c>
      <c r="I42" s="116">
        <v>1274290</v>
      </c>
      <c r="J42" s="116">
        <v>1284966</v>
      </c>
      <c r="K42" s="116">
        <v>1295624</v>
      </c>
      <c r="L42" s="292">
        <v>1306249</v>
      </c>
      <c r="M42" s="292">
        <v>1316849</v>
      </c>
      <c r="N42" s="292">
        <v>1327433</v>
      </c>
      <c r="O42" s="292">
        <v>1326674</v>
      </c>
      <c r="P42" s="292">
        <v>1325926</v>
      </c>
      <c r="Q42" s="292">
        <v>1325170</v>
      </c>
      <c r="R42" s="292">
        <v>304433</v>
      </c>
      <c r="S42" s="292">
        <v>303681</v>
      </c>
    </row>
    <row r="43" spans="1:19" ht="15.75" x14ac:dyDescent="0.25">
      <c r="A43" s="6" t="s">
        <v>82</v>
      </c>
      <c r="B43" s="115">
        <v>688834</v>
      </c>
      <c r="C43" s="115">
        <v>807488</v>
      </c>
      <c r="D43" s="116">
        <v>832379</v>
      </c>
      <c r="E43" s="116">
        <v>698048</v>
      </c>
      <c r="F43" s="116">
        <v>846593</v>
      </c>
      <c r="G43" s="116">
        <v>681948</v>
      </c>
      <c r="H43" s="116">
        <v>621725</v>
      </c>
      <c r="I43" s="116">
        <v>1003244</v>
      </c>
      <c r="J43" s="116">
        <v>497462</v>
      </c>
      <c r="K43" s="116">
        <v>499449</v>
      </c>
      <c r="L43" s="116">
        <v>591467</v>
      </c>
      <c r="M43" s="116">
        <v>591905</v>
      </c>
      <c r="N43" s="116">
        <v>435426</v>
      </c>
      <c r="O43" s="116">
        <v>754427</v>
      </c>
      <c r="P43" s="116">
        <v>540551</v>
      </c>
      <c r="Q43" s="116">
        <v>435825</v>
      </c>
      <c r="R43" s="116">
        <v>908978</v>
      </c>
      <c r="S43" s="116">
        <v>497737</v>
      </c>
    </row>
    <row r="44" spans="1:19" ht="15.75" x14ac:dyDescent="0.25">
      <c r="A44" s="6" t="s">
        <v>83</v>
      </c>
      <c r="B44" s="115">
        <v>2349420</v>
      </c>
      <c r="C44" s="115">
        <v>2291402</v>
      </c>
      <c r="D44" s="116">
        <v>2302061</v>
      </c>
      <c r="E44" s="116">
        <v>2202444</v>
      </c>
      <c r="F44" s="116">
        <v>2694605</v>
      </c>
      <c r="G44" s="116">
        <v>2755565</v>
      </c>
      <c r="H44" s="116">
        <v>2276020</v>
      </c>
      <c r="I44" s="116">
        <v>2626601</v>
      </c>
      <c r="J44" s="116">
        <v>2601349</v>
      </c>
      <c r="K44" s="116">
        <v>2338957</v>
      </c>
      <c r="L44" s="116">
        <v>2778403</v>
      </c>
      <c r="M44" s="116">
        <v>2600669</v>
      </c>
      <c r="N44" s="116">
        <v>2287276</v>
      </c>
      <c r="O44" s="116">
        <v>2150141</v>
      </c>
      <c r="P44" s="116">
        <v>1855846</v>
      </c>
      <c r="Q44" s="116">
        <v>2255700</v>
      </c>
      <c r="R44" s="116">
        <v>2164203</v>
      </c>
      <c r="S44" s="116">
        <v>2037737</v>
      </c>
    </row>
    <row r="45" spans="1:19" ht="15.75" hidden="1" x14ac:dyDescent="0.25">
      <c r="A45" s="6" t="s">
        <v>81</v>
      </c>
      <c r="B45" s="115">
        <v>0</v>
      </c>
      <c r="C45" s="115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292">
        <v>0</v>
      </c>
      <c r="M45" s="292">
        <v>0</v>
      </c>
      <c r="N45" s="292">
        <v>0</v>
      </c>
      <c r="O45" s="292">
        <v>0</v>
      </c>
      <c r="P45" s="292">
        <v>0</v>
      </c>
      <c r="Q45" s="292">
        <v>0</v>
      </c>
      <c r="R45" s="292">
        <v>0</v>
      </c>
      <c r="S45" s="292">
        <v>0</v>
      </c>
    </row>
    <row r="46" spans="1:19" ht="15.75" x14ac:dyDescent="0.25">
      <c r="A46" s="6" t="s">
        <v>84</v>
      </c>
      <c r="B46" s="117">
        <v>1579477</v>
      </c>
      <c r="C46" s="117">
        <v>1694317</v>
      </c>
      <c r="D46" s="118">
        <v>1382413</v>
      </c>
      <c r="E46" s="118">
        <v>1348313</v>
      </c>
      <c r="F46" s="118">
        <v>1310447</v>
      </c>
      <c r="G46" s="118">
        <v>1284313</v>
      </c>
      <c r="H46" s="118">
        <v>1429551</v>
      </c>
      <c r="I46" s="118">
        <v>1376168</v>
      </c>
      <c r="J46" s="118">
        <v>1340540</v>
      </c>
      <c r="K46" s="118">
        <v>1261393</v>
      </c>
      <c r="L46" s="118">
        <v>1226533</v>
      </c>
      <c r="M46" s="118">
        <v>1265607</v>
      </c>
      <c r="N46" s="118">
        <v>1228683</v>
      </c>
      <c r="O46" s="118">
        <v>1386468</v>
      </c>
      <c r="P46" s="118">
        <v>1549862</v>
      </c>
      <c r="Q46" s="118">
        <v>1515526</v>
      </c>
      <c r="R46" s="118">
        <v>1603885</v>
      </c>
      <c r="S46" s="118">
        <v>1542244</v>
      </c>
    </row>
    <row r="47" spans="1:19" ht="15.75" x14ac:dyDescent="0.25">
      <c r="A47" s="41" t="s">
        <v>85</v>
      </c>
      <c r="B47" s="110">
        <f>SUM(B41:B46)-1</f>
        <v>5741380</v>
      </c>
      <c r="C47" s="110">
        <f>SUM(C41:C46)-1</f>
        <v>5942822</v>
      </c>
      <c r="D47" s="111">
        <f>SUM(D41:D46)+1</f>
        <v>5692374</v>
      </c>
      <c r="E47" s="111">
        <f>SUM(E41:E46)</f>
        <v>5450163</v>
      </c>
      <c r="F47" s="111">
        <f>SUM(F41:F46)+1</f>
        <v>6078789</v>
      </c>
      <c r="G47" s="111">
        <f>SUM(G41:G46)-1</f>
        <v>5989153</v>
      </c>
      <c r="H47" s="111">
        <f>SUM(H41:H46)-1</f>
        <v>5590877</v>
      </c>
      <c r="I47" s="111">
        <f>SUM(I41:I46)+1</f>
        <v>6280304</v>
      </c>
      <c r="J47" s="111">
        <f t="shared" ref="J47:O47" si="3">SUM(J41:J46)</f>
        <v>5724317</v>
      </c>
      <c r="K47" s="111">
        <f t="shared" si="3"/>
        <v>5395423</v>
      </c>
      <c r="L47" s="294">
        <f t="shared" si="3"/>
        <v>5902652</v>
      </c>
      <c r="M47" s="294">
        <f t="shared" si="3"/>
        <v>5775030</v>
      </c>
      <c r="N47" s="294">
        <f t="shared" si="3"/>
        <v>5278818</v>
      </c>
      <c r="O47" s="294">
        <f t="shared" si="3"/>
        <v>5617710</v>
      </c>
      <c r="P47" s="294">
        <f>SUM(P41:P46)+1</f>
        <v>5272186</v>
      </c>
      <c r="Q47" s="294">
        <f>SUM(Q41:Q46)</f>
        <v>5532221</v>
      </c>
      <c r="R47" s="294">
        <f>SUM(R41:R46)</f>
        <v>5836499</v>
      </c>
      <c r="S47" s="294">
        <f>SUM(S41:S46)+1</f>
        <v>5236400</v>
      </c>
    </row>
    <row r="48" spans="1:19" ht="15.75" x14ac:dyDescent="0.25">
      <c r="A48" s="41"/>
      <c r="B48" s="110"/>
      <c r="C48" s="110"/>
      <c r="D48" s="111"/>
      <c r="E48" s="111"/>
      <c r="F48" s="111"/>
      <c r="G48" s="111"/>
      <c r="H48" s="111"/>
      <c r="I48" s="111"/>
      <c r="J48" s="111"/>
      <c r="K48" s="111"/>
      <c r="L48" s="294"/>
      <c r="M48" s="294"/>
      <c r="N48" s="294"/>
      <c r="O48" s="294"/>
      <c r="P48" s="294"/>
      <c r="Q48" s="294"/>
      <c r="R48" s="294"/>
      <c r="S48" s="294"/>
    </row>
    <row r="49" spans="1:19" ht="15.75" x14ac:dyDescent="0.25">
      <c r="A49" s="41" t="s">
        <v>321</v>
      </c>
      <c r="B49" s="110">
        <v>2548448</v>
      </c>
      <c r="C49" s="110">
        <v>2549503</v>
      </c>
      <c r="D49" s="111">
        <v>2549467</v>
      </c>
      <c r="E49" s="111">
        <v>2549467</v>
      </c>
      <c r="F49" s="111">
        <v>2537888</v>
      </c>
      <c r="G49" s="111">
        <v>2537888</v>
      </c>
      <c r="H49" s="111">
        <v>2537888</v>
      </c>
      <c r="I49" s="111">
        <v>2537888</v>
      </c>
      <c r="J49" s="111">
        <v>2537888</v>
      </c>
      <c r="K49" s="111">
        <v>2537888</v>
      </c>
      <c r="L49" s="294">
        <v>2537888</v>
      </c>
      <c r="M49" s="294">
        <v>2537888</v>
      </c>
      <c r="N49" s="294">
        <v>2537888</v>
      </c>
      <c r="O49" s="294">
        <v>2537888</v>
      </c>
      <c r="P49" s="294"/>
      <c r="Q49" s="294"/>
      <c r="R49" s="294"/>
      <c r="S49" s="294">
        <v>2537888</v>
      </c>
    </row>
    <row r="50" spans="1:19" ht="15.75" x14ac:dyDescent="0.25">
      <c r="A50" s="7"/>
      <c r="B50" s="112"/>
      <c r="C50" s="112"/>
      <c r="D50" s="113"/>
      <c r="E50" s="113"/>
      <c r="F50" s="113"/>
      <c r="G50" s="113"/>
      <c r="H50" s="113"/>
      <c r="I50" s="113"/>
      <c r="J50" s="113"/>
      <c r="K50" s="113"/>
      <c r="L50" s="295"/>
      <c r="M50" s="295"/>
      <c r="N50" s="295"/>
      <c r="O50" s="295"/>
      <c r="P50" s="295"/>
      <c r="Q50" s="295"/>
      <c r="R50" s="295"/>
      <c r="S50" s="295"/>
    </row>
    <row r="51" spans="1:19" s="44" customFormat="1" ht="15.75" x14ac:dyDescent="0.25">
      <c r="A51" s="6" t="s">
        <v>316</v>
      </c>
      <c r="B51" s="115">
        <v>15585000</v>
      </c>
      <c r="C51" s="115">
        <v>15585000</v>
      </c>
      <c r="D51" s="116">
        <v>15585000</v>
      </c>
      <c r="E51" s="116">
        <v>15585000</v>
      </c>
      <c r="F51" s="116">
        <v>15585000</v>
      </c>
      <c r="G51" s="116">
        <v>15585000</v>
      </c>
      <c r="H51" s="116">
        <v>16605000</v>
      </c>
      <c r="I51" s="116">
        <v>16605000</v>
      </c>
      <c r="J51" s="116">
        <v>16605000</v>
      </c>
      <c r="K51" s="116">
        <v>16605000</v>
      </c>
      <c r="L51" s="292">
        <v>16605000</v>
      </c>
      <c r="M51" s="292">
        <v>16605000</v>
      </c>
      <c r="N51" s="292">
        <v>16605000</v>
      </c>
      <c r="O51" s="292">
        <v>16605000</v>
      </c>
      <c r="P51" s="292">
        <v>16605000</v>
      </c>
      <c r="Q51" s="292">
        <v>16605000</v>
      </c>
      <c r="R51" s="292">
        <v>0</v>
      </c>
      <c r="S51" s="292">
        <v>0</v>
      </c>
    </row>
    <row r="52" spans="1:19" ht="15.75" x14ac:dyDescent="0.25">
      <c r="A52" s="6" t="s">
        <v>86</v>
      </c>
      <c r="B52" s="115">
        <v>0</v>
      </c>
      <c r="C52" s="115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14920</v>
      </c>
      <c r="I52" s="116">
        <v>29801</v>
      </c>
      <c r="J52" s="116">
        <v>44646</v>
      </c>
      <c r="K52" s="116">
        <v>59453</v>
      </c>
      <c r="L52" s="292">
        <v>74222</v>
      </c>
      <c r="M52" s="292">
        <v>88955</v>
      </c>
      <c r="N52" s="292">
        <v>103650</v>
      </c>
      <c r="O52" s="292">
        <v>129616</v>
      </c>
      <c r="P52" s="292">
        <v>155520</v>
      </c>
      <c r="Q52" s="292">
        <v>181358</v>
      </c>
      <c r="R52" s="292">
        <v>207143</v>
      </c>
      <c r="S52" s="292">
        <v>232854</v>
      </c>
    </row>
    <row r="53" spans="1:19" ht="15.75" x14ac:dyDescent="0.25">
      <c r="A53" s="6" t="s">
        <v>87</v>
      </c>
      <c r="B53" s="115">
        <v>0</v>
      </c>
      <c r="C53" s="115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292">
        <v>0</v>
      </c>
      <c r="M53" s="292">
        <v>0</v>
      </c>
      <c r="N53" s="292">
        <v>0</v>
      </c>
      <c r="O53" s="292">
        <v>0</v>
      </c>
      <c r="P53" s="292">
        <v>0</v>
      </c>
      <c r="Q53" s="292">
        <v>0</v>
      </c>
      <c r="R53" s="292">
        <v>16784120</v>
      </c>
      <c r="S53" s="292">
        <v>16784120</v>
      </c>
    </row>
    <row r="54" spans="1:19" ht="15.75" hidden="1" x14ac:dyDescent="0.25">
      <c r="A54" s="6" t="s">
        <v>67</v>
      </c>
      <c r="B54" s="117">
        <v>0</v>
      </c>
      <c r="C54" s="117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291">
        <v>0</v>
      </c>
      <c r="M54" s="291">
        <v>0</v>
      </c>
      <c r="N54" s="291">
        <v>0</v>
      </c>
      <c r="O54" s="291">
        <v>0</v>
      </c>
      <c r="P54" s="291">
        <v>0</v>
      </c>
      <c r="Q54" s="291">
        <v>0</v>
      </c>
      <c r="R54" s="291">
        <v>0</v>
      </c>
      <c r="S54" s="291">
        <v>0</v>
      </c>
    </row>
    <row r="55" spans="1:19" ht="15.75" x14ac:dyDescent="0.25">
      <c r="A55" s="41" t="s">
        <v>88</v>
      </c>
      <c r="B55" s="110">
        <f t="shared" ref="B55:I55" si="4">SUM(B51:B54)</f>
        <v>15585000</v>
      </c>
      <c r="C55" s="110">
        <f t="shared" ref="C55" si="5">SUM(C51:C54)</f>
        <v>15585000</v>
      </c>
      <c r="D55" s="111">
        <f t="shared" si="4"/>
        <v>15585000</v>
      </c>
      <c r="E55" s="111">
        <f t="shared" si="4"/>
        <v>15585000</v>
      </c>
      <c r="F55" s="111">
        <f t="shared" si="4"/>
        <v>15585000</v>
      </c>
      <c r="G55" s="111">
        <f t="shared" si="4"/>
        <v>15585000</v>
      </c>
      <c r="H55" s="111">
        <f t="shared" si="4"/>
        <v>16619920</v>
      </c>
      <c r="I55" s="111">
        <f t="shared" si="4"/>
        <v>16634801</v>
      </c>
      <c r="J55" s="111">
        <f t="shared" ref="J55:S55" si="6">SUM(J51:J54)</f>
        <v>16649646</v>
      </c>
      <c r="K55" s="111">
        <f t="shared" si="6"/>
        <v>16664453</v>
      </c>
      <c r="L55" s="294">
        <f t="shared" si="6"/>
        <v>16679222</v>
      </c>
      <c r="M55" s="294">
        <f t="shared" si="6"/>
        <v>16693955</v>
      </c>
      <c r="N55" s="294">
        <f t="shared" si="6"/>
        <v>16708650</v>
      </c>
      <c r="O55" s="294">
        <f t="shared" si="6"/>
        <v>16734616</v>
      </c>
      <c r="P55" s="294">
        <f t="shared" si="6"/>
        <v>16760520</v>
      </c>
      <c r="Q55" s="294">
        <f t="shared" si="6"/>
        <v>16786358</v>
      </c>
      <c r="R55" s="294">
        <f t="shared" si="6"/>
        <v>16991263</v>
      </c>
      <c r="S55" s="294">
        <f t="shared" si="6"/>
        <v>17016974</v>
      </c>
    </row>
    <row r="56" spans="1:19" x14ac:dyDescent="0.2">
      <c r="A56" s="13"/>
      <c r="B56" s="276"/>
      <c r="C56" s="276"/>
      <c r="D56" s="263"/>
      <c r="E56" s="263"/>
      <c r="F56" s="263"/>
      <c r="G56" s="263"/>
      <c r="H56" s="263"/>
      <c r="I56" s="263"/>
      <c r="J56" s="263"/>
      <c r="K56" s="263"/>
      <c r="L56" s="299"/>
      <c r="M56" s="299"/>
      <c r="N56" s="299"/>
      <c r="O56" s="299"/>
      <c r="P56" s="299"/>
      <c r="Q56" s="299"/>
      <c r="R56" s="299"/>
      <c r="S56" s="299"/>
    </row>
    <row r="57" spans="1:19" ht="15.75" x14ac:dyDescent="0.25">
      <c r="A57" s="41" t="s">
        <v>89</v>
      </c>
      <c r="B57" s="112">
        <f t="shared" ref="B57:G57" si="7">B47+B49+B55</f>
        <v>23874828</v>
      </c>
      <c r="C57" s="112">
        <f t="shared" si="7"/>
        <v>24077325</v>
      </c>
      <c r="D57" s="113">
        <f t="shared" si="7"/>
        <v>23826841</v>
      </c>
      <c r="E57" s="113">
        <f t="shared" si="7"/>
        <v>23584630</v>
      </c>
      <c r="F57" s="113">
        <f t="shared" si="7"/>
        <v>24201677</v>
      </c>
      <c r="G57" s="113">
        <f t="shared" si="7"/>
        <v>24112041</v>
      </c>
      <c r="H57" s="113">
        <f>H47+H49+H55-1</f>
        <v>24748684</v>
      </c>
      <c r="I57" s="113">
        <f>I47+I49+I55</f>
        <v>25452993</v>
      </c>
      <c r="J57" s="113">
        <f>J47+J49+J55</f>
        <v>24911851</v>
      </c>
      <c r="K57" s="113">
        <f>K47+K49+K55-1</f>
        <v>24597763</v>
      </c>
      <c r="L57" s="295">
        <f>L47+L49+L55</f>
        <v>25119762</v>
      </c>
      <c r="M57" s="295">
        <f>M47+M49+M55-1</f>
        <v>25006872</v>
      </c>
      <c r="N57" s="295">
        <f>N47+N49+N55</f>
        <v>24525356</v>
      </c>
      <c r="O57" s="295">
        <f>O47+O49+O55</f>
        <v>24890214</v>
      </c>
      <c r="P57" s="295">
        <f>P47+P55</f>
        <v>22032706</v>
      </c>
      <c r="Q57" s="295">
        <f>Q47+Q55</f>
        <v>22318579</v>
      </c>
      <c r="R57" s="295">
        <f>R47+R55</f>
        <v>22827762</v>
      </c>
      <c r="S57" s="295">
        <f>S47+S49+S55-1</f>
        <v>24791261</v>
      </c>
    </row>
    <row r="58" spans="1:19" x14ac:dyDescent="0.2">
      <c r="A58" s="13"/>
      <c r="B58" s="276"/>
      <c r="C58" s="276"/>
      <c r="D58" s="263"/>
      <c r="E58" s="263"/>
      <c r="F58" s="263"/>
      <c r="G58" s="263"/>
      <c r="H58" s="263"/>
      <c r="I58" s="263"/>
      <c r="J58" s="263"/>
      <c r="K58" s="263"/>
      <c r="L58" s="299"/>
      <c r="M58" s="299"/>
      <c r="N58" s="299"/>
      <c r="O58" s="299"/>
      <c r="P58" s="299"/>
      <c r="Q58" s="299"/>
      <c r="R58" s="299"/>
      <c r="S58" s="299"/>
    </row>
    <row r="59" spans="1:19" ht="15.75" x14ac:dyDescent="0.25">
      <c r="A59" s="6" t="s">
        <v>90</v>
      </c>
      <c r="B59" s="115">
        <v>30526981</v>
      </c>
      <c r="C59" s="115">
        <v>30652871</v>
      </c>
      <c r="D59" s="116">
        <v>30801731</v>
      </c>
      <c r="E59" s="116">
        <v>30575257</v>
      </c>
      <c r="F59" s="116">
        <v>30661769</v>
      </c>
      <c r="G59" s="116">
        <v>30783131</v>
      </c>
      <c r="H59" s="116">
        <v>30705870</v>
      </c>
      <c r="I59" s="116">
        <v>30739460</v>
      </c>
      <c r="J59" s="116">
        <v>30575065</v>
      </c>
      <c r="K59" s="116">
        <v>30628011</v>
      </c>
      <c r="L59" s="116">
        <v>30765044</v>
      </c>
      <c r="M59" s="116">
        <v>30828239</v>
      </c>
      <c r="N59" s="116">
        <v>30824173</v>
      </c>
      <c r="O59" s="116">
        <v>30952277</v>
      </c>
      <c r="P59" s="116">
        <v>30960526</v>
      </c>
      <c r="Q59" s="116">
        <v>31048130</v>
      </c>
      <c r="R59" s="116">
        <v>13550809</v>
      </c>
      <c r="S59" s="116">
        <v>13368789</v>
      </c>
    </row>
    <row r="60" spans="1:19" ht="15.75" x14ac:dyDescent="0.25">
      <c r="A60" s="6" t="s">
        <v>91</v>
      </c>
      <c r="B60" s="115"/>
      <c r="C60" s="115"/>
      <c r="D60" s="116"/>
      <c r="E60" s="116"/>
      <c r="F60" s="116"/>
      <c r="G60" s="116"/>
      <c r="H60" s="116"/>
      <c r="I60" s="116"/>
      <c r="J60" s="116"/>
      <c r="K60" s="116"/>
      <c r="L60" s="292"/>
      <c r="M60" s="292"/>
      <c r="N60" s="292"/>
      <c r="O60" s="292"/>
      <c r="P60" s="292"/>
      <c r="Q60" s="292"/>
      <c r="R60" s="292"/>
      <c r="S60" s="292"/>
    </row>
    <row r="61" spans="1:19" ht="15.75" hidden="1" x14ac:dyDescent="0.25">
      <c r="A61" s="6" t="s">
        <v>92</v>
      </c>
      <c r="B61" s="115">
        <v>0</v>
      </c>
      <c r="C61" s="115">
        <v>0</v>
      </c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292">
        <v>0</v>
      </c>
      <c r="M61" s="292">
        <v>0</v>
      </c>
      <c r="N61" s="292">
        <v>0</v>
      </c>
      <c r="O61" s="292">
        <v>0</v>
      </c>
      <c r="P61" s="292">
        <v>0</v>
      </c>
      <c r="Q61" s="292">
        <v>0</v>
      </c>
      <c r="R61" s="292">
        <v>0</v>
      </c>
      <c r="S61" s="292">
        <v>0</v>
      </c>
    </row>
    <row r="62" spans="1:19" ht="15.75" x14ac:dyDescent="0.25">
      <c r="A62" s="6" t="s">
        <v>93</v>
      </c>
      <c r="B62" s="115">
        <v>5720</v>
      </c>
      <c r="C62" s="115">
        <v>5720</v>
      </c>
      <c r="D62" s="116">
        <v>5720</v>
      </c>
      <c r="E62" s="116">
        <v>5720</v>
      </c>
      <c r="F62" s="116">
        <v>5720</v>
      </c>
      <c r="G62" s="116">
        <v>5720</v>
      </c>
      <c r="H62" s="116">
        <v>5720</v>
      </c>
      <c r="I62" s="116">
        <v>5719</v>
      </c>
      <c r="J62" s="116">
        <v>5719</v>
      </c>
      <c r="K62" s="116">
        <v>5719</v>
      </c>
      <c r="L62" s="292">
        <v>5719</v>
      </c>
      <c r="M62" s="292">
        <v>5719</v>
      </c>
      <c r="N62" s="292">
        <v>5717</v>
      </c>
      <c r="O62" s="292">
        <v>5717</v>
      </c>
      <c r="P62" s="292">
        <v>5717</v>
      </c>
      <c r="Q62" s="292">
        <v>5717</v>
      </c>
      <c r="R62" s="292">
        <v>5717</v>
      </c>
      <c r="S62" s="292">
        <v>5717</v>
      </c>
    </row>
    <row r="63" spans="1:19" ht="15.75" hidden="1" x14ac:dyDescent="0.25">
      <c r="A63" s="6" t="s">
        <v>94</v>
      </c>
      <c r="B63" s="115"/>
      <c r="C63" s="115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</row>
    <row r="64" spans="1:19" ht="15.75" x14ac:dyDescent="0.25">
      <c r="A64" s="6" t="s">
        <v>95</v>
      </c>
      <c r="B64" s="117">
        <v>6778725</v>
      </c>
      <c r="C64" s="117">
        <v>6652834</v>
      </c>
      <c r="D64" s="118">
        <v>8301603</v>
      </c>
      <c r="E64" s="118">
        <v>8528077</v>
      </c>
      <c r="F64" s="118">
        <v>8441565</v>
      </c>
      <c r="G64" s="118">
        <v>8320203</v>
      </c>
      <c r="H64" s="118">
        <v>4011401</v>
      </c>
      <c r="I64" s="118">
        <v>3977812</v>
      </c>
      <c r="J64" s="118">
        <v>4142208</v>
      </c>
      <c r="K64" s="118">
        <v>4089262</v>
      </c>
      <c r="L64" s="118">
        <v>3952229</v>
      </c>
      <c r="M64" s="118">
        <v>3889034</v>
      </c>
      <c r="N64" s="118">
        <v>3893101</v>
      </c>
      <c r="O64" s="118">
        <v>3764997</v>
      </c>
      <c r="P64" s="118">
        <v>3756748</v>
      </c>
      <c r="Q64" s="118">
        <v>3669144</v>
      </c>
      <c r="R64" s="118">
        <v>21166465</v>
      </c>
      <c r="S64" s="118">
        <v>21348485</v>
      </c>
    </row>
    <row r="65" spans="1:19" ht="15.75" x14ac:dyDescent="0.25">
      <c r="A65" s="41" t="s">
        <v>96</v>
      </c>
      <c r="B65" s="112">
        <f>SUM(B59:B64)-1</f>
        <v>37311425</v>
      </c>
      <c r="C65" s="112">
        <f t="shared" ref="C65" si="8">SUM(C59:C64)</f>
        <v>37311425</v>
      </c>
      <c r="D65" s="113">
        <f t="shared" ref="D65:I65" si="9">SUM(D59:D64)</f>
        <v>39109054</v>
      </c>
      <c r="E65" s="113">
        <f t="shared" si="9"/>
        <v>39109054</v>
      </c>
      <c r="F65" s="113">
        <f t="shared" si="9"/>
        <v>39109054</v>
      </c>
      <c r="G65" s="113">
        <f t="shared" si="9"/>
        <v>39109054</v>
      </c>
      <c r="H65" s="113">
        <f t="shared" si="9"/>
        <v>34722991</v>
      </c>
      <c r="I65" s="113">
        <f t="shared" si="9"/>
        <v>34722991</v>
      </c>
      <c r="J65" s="113">
        <f>SUM(J59:J64)-1</f>
        <v>34722991</v>
      </c>
      <c r="K65" s="113">
        <f>SUM(K59:K64)-1</f>
        <v>34722991</v>
      </c>
      <c r="L65" s="295">
        <f>SUM(L59:L64)-1</f>
        <v>34722991</v>
      </c>
      <c r="M65" s="295">
        <f>SUM(M59:M64)-1</f>
        <v>34722991</v>
      </c>
      <c r="N65" s="295">
        <f t="shared" ref="N65:S65" si="10">SUM(N59:N64)</f>
        <v>34722991</v>
      </c>
      <c r="O65" s="295">
        <f t="shared" si="10"/>
        <v>34722991</v>
      </c>
      <c r="P65" s="295">
        <f t="shared" si="10"/>
        <v>34722991</v>
      </c>
      <c r="Q65" s="295">
        <f t="shared" si="10"/>
        <v>34722991</v>
      </c>
      <c r="R65" s="295">
        <f t="shared" si="10"/>
        <v>34722991</v>
      </c>
      <c r="S65" s="295">
        <f t="shared" si="10"/>
        <v>34722991</v>
      </c>
    </row>
    <row r="66" spans="1:19" x14ac:dyDescent="0.2">
      <c r="A66" s="13"/>
      <c r="B66" s="277"/>
      <c r="C66" s="277"/>
      <c r="D66" s="278"/>
      <c r="E66" s="278"/>
      <c r="F66" s="278"/>
      <c r="G66" s="278"/>
      <c r="H66" s="278"/>
      <c r="I66" s="278"/>
      <c r="J66" s="278"/>
      <c r="K66" s="278"/>
      <c r="L66" s="300"/>
      <c r="M66" s="300"/>
      <c r="N66" s="300"/>
      <c r="O66" s="300"/>
      <c r="P66" s="300"/>
      <c r="Q66" s="300"/>
      <c r="R66" s="300"/>
      <c r="S66" s="300"/>
    </row>
    <row r="67" spans="1:19" ht="15.75" x14ac:dyDescent="0.25">
      <c r="A67" s="41" t="s">
        <v>133</v>
      </c>
      <c r="B67" s="110">
        <v>1278718</v>
      </c>
      <c r="C67" s="110">
        <v>459236</v>
      </c>
      <c r="D67" s="111">
        <v>417906</v>
      </c>
      <c r="E67" s="111">
        <v>459099</v>
      </c>
      <c r="F67" s="111">
        <v>298514</v>
      </c>
      <c r="G67" s="111">
        <v>261560</v>
      </c>
      <c r="H67" s="111">
        <v>4386063</v>
      </c>
      <c r="I67" s="111">
        <v>4156197</v>
      </c>
      <c r="J67" s="111">
        <v>3894512</v>
      </c>
      <c r="K67" s="111">
        <v>3284097</v>
      </c>
      <c r="L67" s="294">
        <v>2302418</v>
      </c>
      <c r="M67" s="294">
        <v>1418142</v>
      </c>
      <c r="N67" s="294">
        <v>500904</v>
      </c>
      <c r="O67" s="294">
        <v>-127631</v>
      </c>
      <c r="P67" s="294">
        <v>-254142</v>
      </c>
      <c r="Q67" s="294">
        <v>-418008</v>
      </c>
      <c r="R67" s="294">
        <v>-336949</v>
      </c>
      <c r="S67" s="294">
        <v>-381019</v>
      </c>
    </row>
    <row r="68" spans="1:19" x14ac:dyDescent="0.2">
      <c r="A68" s="13"/>
      <c r="B68" s="277"/>
      <c r="C68" s="277"/>
      <c r="D68" s="278"/>
      <c r="E68" s="278"/>
      <c r="F68" s="278"/>
      <c r="G68" s="278"/>
      <c r="H68" s="278"/>
      <c r="I68" s="278"/>
      <c r="J68" s="278"/>
      <c r="K68" s="278"/>
      <c r="L68" s="300"/>
      <c r="M68" s="300"/>
      <c r="N68" s="300"/>
      <c r="O68" s="300"/>
      <c r="P68" s="300"/>
      <c r="Q68" s="300"/>
      <c r="R68" s="300"/>
      <c r="S68" s="300"/>
    </row>
    <row r="69" spans="1:19" ht="16.5" thickBot="1" x14ac:dyDescent="0.3">
      <c r="A69" s="41" t="s">
        <v>97</v>
      </c>
      <c r="B69" s="275">
        <f>B65+B67+B57</f>
        <v>62464971</v>
      </c>
      <c r="C69" s="275">
        <f>C65+C67+C57+1</f>
        <v>61847987</v>
      </c>
      <c r="D69" s="262">
        <f>D65+D67+D57+1</f>
        <v>63353802</v>
      </c>
      <c r="E69" s="262">
        <f>E65+E67+E57+1</f>
        <v>63152784</v>
      </c>
      <c r="F69" s="262">
        <f>F65+F67+F57</f>
        <v>63609245</v>
      </c>
      <c r="G69" s="262">
        <f>G65+G67+G57+1</f>
        <v>63482656</v>
      </c>
      <c r="H69" s="262">
        <f>H65+H67+H57+1</f>
        <v>63857739</v>
      </c>
      <c r="I69" s="262">
        <f>I65+I67+I57</f>
        <v>64332181</v>
      </c>
      <c r="J69" s="262">
        <f t="shared" ref="J69:P69" si="11">J65+J67+J57</f>
        <v>63529354</v>
      </c>
      <c r="K69" s="262">
        <f t="shared" si="11"/>
        <v>62604851</v>
      </c>
      <c r="L69" s="298">
        <f t="shared" si="11"/>
        <v>62145171</v>
      </c>
      <c r="M69" s="298">
        <f t="shared" si="11"/>
        <v>61148005</v>
      </c>
      <c r="N69" s="298">
        <f t="shared" si="11"/>
        <v>59749251</v>
      </c>
      <c r="O69" s="298">
        <f t="shared" si="11"/>
        <v>59485574</v>
      </c>
      <c r="P69" s="298">
        <f t="shared" si="11"/>
        <v>56501555</v>
      </c>
      <c r="Q69" s="298">
        <f>Q65+Q67+Q57+1</f>
        <v>56623563</v>
      </c>
      <c r="R69" s="298">
        <f>R65+R67+R57-1</f>
        <v>57213803</v>
      </c>
      <c r="S69" s="298">
        <f>S65+S67+S57</f>
        <v>59133233</v>
      </c>
    </row>
    <row r="70" spans="1:19" ht="14.25" thickTop="1" thickBot="1" x14ac:dyDescent="0.25">
      <c r="A70" s="13"/>
      <c r="B70" s="279"/>
      <c r="C70" s="207"/>
      <c r="D70" s="207"/>
      <c r="E70" s="207"/>
      <c r="F70" s="207"/>
      <c r="G70" s="207"/>
      <c r="H70" s="106"/>
      <c r="I70" s="207"/>
      <c r="J70" s="207"/>
      <c r="K70" s="106"/>
      <c r="L70" s="106"/>
      <c r="M70" s="106"/>
      <c r="N70" s="106"/>
      <c r="O70" s="106"/>
      <c r="P70" s="106"/>
      <c r="Q70" s="106"/>
      <c r="R70" s="106"/>
      <c r="S70" s="106"/>
    </row>
    <row r="71" spans="1:19" ht="18.75" x14ac:dyDescent="0.3">
      <c r="A71" s="13"/>
      <c r="B71" s="132"/>
      <c r="C71" s="132"/>
      <c r="D71" s="132"/>
      <c r="E71" s="132"/>
      <c r="F71" s="132"/>
      <c r="I71" s="132"/>
      <c r="J71" s="132"/>
      <c r="M71" s="13"/>
      <c r="N71" s="13"/>
      <c r="O71" s="139" t="s">
        <v>333</v>
      </c>
      <c r="P71" s="13"/>
      <c r="Q71" s="13"/>
      <c r="R71" s="13"/>
      <c r="S71" s="139" t="s">
        <v>333</v>
      </c>
    </row>
    <row r="72" spans="1:19" x14ac:dyDescent="0.2">
      <c r="A72" s="13"/>
      <c r="B72" s="132"/>
      <c r="C72" s="132"/>
      <c r="D72" s="132"/>
      <c r="E72" s="132"/>
      <c r="F72" s="132"/>
      <c r="G72" s="13"/>
      <c r="I72" s="132"/>
      <c r="J72" s="132"/>
      <c r="K72" s="13"/>
      <c r="L72" s="13"/>
      <c r="M72" s="13"/>
      <c r="N72" s="13"/>
      <c r="O72" s="13"/>
      <c r="P72" s="13"/>
      <c r="Q72" s="13"/>
      <c r="R72" s="13"/>
      <c r="S72" s="13"/>
    </row>
    <row r="73" spans="1:19" x14ac:dyDescent="0.2">
      <c r="A73" s="2" t="s">
        <v>8</v>
      </c>
      <c r="B73" s="280">
        <f>B38-B69</f>
        <v>0</v>
      </c>
    </row>
    <row r="76" spans="1:19" x14ac:dyDescent="0.2">
      <c r="A76" s="230"/>
    </row>
  </sheetData>
  <mergeCells count="3">
    <mergeCell ref="A1:B1"/>
    <mergeCell ref="A2:B2"/>
    <mergeCell ref="A3:B3"/>
  </mergeCells>
  <printOptions horizontalCentered="1" verticalCentered="1"/>
  <pageMargins left="0.25" right="0.25" top="0.5" bottom="0.5" header="0.5" footer="0.5"/>
  <pageSetup scale="71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topLeftCell="A3" zoomScale="110" zoomScaleNormal="110" workbookViewId="0">
      <selection activeCell="H45" sqref="H45"/>
    </sheetView>
  </sheetViews>
  <sheetFormatPr defaultRowHeight="12.75" x14ac:dyDescent="0.2"/>
  <cols>
    <col min="1" max="1" width="57.5703125" customWidth="1"/>
    <col min="2" max="2" width="2.85546875" customWidth="1"/>
    <col min="3" max="3" width="15.7109375" customWidth="1"/>
    <col min="5" max="5" width="12.85546875" bestFit="1" customWidth="1"/>
    <col min="6" max="6" width="12.28515625" bestFit="1" customWidth="1"/>
  </cols>
  <sheetData>
    <row r="1" spans="1:3" ht="18.75" x14ac:dyDescent="0.3">
      <c r="A1" s="395" t="s">
        <v>330</v>
      </c>
      <c r="B1" s="395"/>
      <c r="C1" s="395"/>
    </row>
    <row r="2" spans="1:3" ht="18.75" x14ac:dyDescent="0.3">
      <c r="A2" s="396" t="s">
        <v>20</v>
      </c>
      <c r="B2" s="396"/>
      <c r="C2" s="396"/>
    </row>
    <row r="3" spans="1:3" ht="18.75" x14ac:dyDescent="0.3">
      <c r="A3" s="396" t="s">
        <v>357</v>
      </c>
      <c r="B3" s="397"/>
      <c r="C3" s="397"/>
    </row>
    <row r="4" spans="1:3" ht="15.75" x14ac:dyDescent="0.25">
      <c r="A4" s="6"/>
      <c r="B4" s="6"/>
      <c r="C4" s="17"/>
    </row>
    <row r="5" spans="1:3" ht="15.75" x14ac:dyDescent="0.25">
      <c r="A5" s="7" t="s">
        <v>21</v>
      </c>
      <c r="B5" s="7"/>
      <c r="C5" s="6"/>
    </row>
    <row r="6" spans="1:3" ht="15.75" x14ac:dyDescent="0.25">
      <c r="A6" s="6" t="s">
        <v>22</v>
      </c>
      <c r="B6" s="6"/>
      <c r="C6" s="18">
        <v>1278718</v>
      </c>
    </row>
    <row r="7" spans="1:3" ht="15.75" x14ac:dyDescent="0.25">
      <c r="A7" s="6" t="s">
        <v>23</v>
      </c>
      <c r="B7" s="6"/>
      <c r="C7" s="19">
        <v>215216</v>
      </c>
    </row>
    <row r="8" spans="1:3" ht="15.75" x14ac:dyDescent="0.25">
      <c r="A8" s="6" t="s">
        <v>24</v>
      </c>
      <c r="B8" s="6"/>
      <c r="C8" s="19">
        <v>-1261290</v>
      </c>
    </row>
    <row r="9" spans="1:3" ht="15.75" x14ac:dyDescent="0.25">
      <c r="A9" s="6" t="s">
        <v>25</v>
      </c>
      <c r="B9" s="6"/>
      <c r="C9" s="20">
        <v>-56318</v>
      </c>
    </row>
    <row r="10" spans="1:3" ht="15.75" x14ac:dyDescent="0.25">
      <c r="A10" s="6" t="s">
        <v>26</v>
      </c>
      <c r="B10" s="21"/>
      <c r="C10" s="22">
        <f>SUM(C6:C9)</f>
        <v>176326</v>
      </c>
    </row>
    <row r="11" spans="1:3" ht="15.75" x14ac:dyDescent="0.25">
      <c r="A11" s="6" t="s">
        <v>27</v>
      </c>
      <c r="B11" s="6"/>
      <c r="C11" s="28">
        <f>-11299-108196</f>
        <v>-119495</v>
      </c>
    </row>
    <row r="12" spans="1:3" ht="15.75" x14ac:dyDescent="0.25">
      <c r="A12" s="6" t="s">
        <v>28</v>
      </c>
      <c r="B12" s="6"/>
      <c r="C12" s="19">
        <v>1168325</v>
      </c>
    </row>
    <row r="13" spans="1:3" ht="15.75" hidden="1" x14ac:dyDescent="0.25">
      <c r="A13" s="6" t="s">
        <v>29</v>
      </c>
      <c r="B13" s="6"/>
      <c r="C13" s="19">
        <v>0</v>
      </c>
    </row>
    <row r="14" spans="1:3" ht="15.75" x14ac:dyDescent="0.25">
      <c r="A14" s="6" t="s">
        <v>30</v>
      </c>
      <c r="B14" s="6"/>
      <c r="C14" s="19"/>
    </row>
    <row r="15" spans="1:3" ht="15.75" x14ac:dyDescent="0.25">
      <c r="A15" s="6" t="s">
        <v>31</v>
      </c>
      <c r="B15" s="6"/>
      <c r="C15" s="19">
        <v>-1055972</v>
      </c>
    </row>
    <row r="16" spans="1:3" ht="15.75" x14ac:dyDescent="0.25">
      <c r="A16" s="6" t="s">
        <v>32</v>
      </c>
      <c r="B16" s="6"/>
      <c r="C16" s="19">
        <v>-3214</v>
      </c>
    </row>
    <row r="17" spans="1:3" ht="15.75" x14ac:dyDescent="0.25">
      <c r="A17" s="6" t="s">
        <v>33</v>
      </c>
      <c r="B17" s="6"/>
      <c r="C17" s="19">
        <v>-124666</v>
      </c>
    </row>
    <row r="18" spans="1:3" ht="15.75" x14ac:dyDescent="0.25">
      <c r="A18" s="6" t="s">
        <v>232</v>
      </c>
      <c r="B18" s="6"/>
      <c r="C18" s="19">
        <v>15755</v>
      </c>
    </row>
    <row r="19" spans="1:3" ht="15.75" x14ac:dyDescent="0.25">
      <c r="A19" s="8" t="s">
        <v>233</v>
      </c>
      <c r="B19" s="6"/>
      <c r="C19" s="19">
        <v>-1205046</v>
      </c>
    </row>
    <row r="20" spans="1:3" ht="15.75" x14ac:dyDescent="0.25">
      <c r="A20" s="6" t="s">
        <v>34</v>
      </c>
      <c r="B20" s="6"/>
      <c r="C20" s="19">
        <v>67109</v>
      </c>
    </row>
    <row r="21" spans="1:3" ht="15.75" x14ac:dyDescent="0.25">
      <c r="A21" s="6" t="s">
        <v>35</v>
      </c>
      <c r="B21" s="6"/>
      <c r="C21" s="19">
        <v>173637</v>
      </c>
    </row>
    <row r="22" spans="1:3" ht="15.75" x14ac:dyDescent="0.25">
      <c r="A22" s="6" t="s">
        <v>36</v>
      </c>
      <c r="B22" s="6"/>
      <c r="C22" s="21">
        <v>-1467940</v>
      </c>
    </row>
    <row r="23" spans="1:3" ht="15.75" x14ac:dyDescent="0.25">
      <c r="A23" s="6" t="s">
        <v>332</v>
      </c>
      <c r="B23" s="6"/>
      <c r="C23" s="21">
        <v>-3216</v>
      </c>
    </row>
    <row r="24" spans="1:3" ht="15.75" hidden="1" x14ac:dyDescent="0.25">
      <c r="A24" s="6" t="s">
        <v>37</v>
      </c>
      <c r="B24" s="6"/>
      <c r="C24" s="19">
        <v>0</v>
      </c>
    </row>
    <row r="25" spans="1:3" ht="15.75" hidden="1" x14ac:dyDescent="0.25">
      <c r="A25" s="6" t="s">
        <v>38</v>
      </c>
      <c r="B25" s="6"/>
      <c r="C25" s="21">
        <v>0</v>
      </c>
    </row>
    <row r="26" spans="1:3" ht="15.75" hidden="1" x14ac:dyDescent="0.25">
      <c r="A26" s="6" t="s">
        <v>39</v>
      </c>
      <c r="B26" s="6"/>
      <c r="C26" s="21">
        <v>0</v>
      </c>
    </row>
    <row r="27" spans="1:3" ht="15.75" x14ac:dyDescent="0.25">
      <c r="A27" s="6" t="s">
        <v>40</v>
      </c>
      <c r="B27" s="6"/>
      <c r="C27" s="21"/>
    </row>
    <row r="28" spans="1:3" ht="15.75" x14ac:dyDescent="0.25">
      <c r="A28" s="6" t="s">
        <v>41</v>
      </c>
      <c r="B28" s="6"/>
      <c r="C28" s="11">
        <f>SUM(C6:C27)-C10</f>
        <v>-2378397</v>
      </c>
    </row>
    <row r="29" spans="1:3" ht="15.75" x14ac:dyDescent="0.25">
      <c r="A29" s="6"/>
      <c r="B29" s="6"/>
      <c r="C29" s="19"/>
    </row>
    <row r="30" spans="1:3" ht="15.75" x14ac:dyDescent="0.25">
      <c r="A30" s="7" t="s">
        <v>42</v>
      </c>
      <c r="B30" s="7"/>
      <c r="C30" s="19"/>
    </row>
    <row r="31" spans="1:3" ht="15.75" x14ac:dyDescent="0.25">
      <c r="A31" s="8" t="s">
        <v>43</v>
      </c>
      <c r="B31" s="6"/>
      <c r="C31" s="22">
        <f>11299+108196</f>
        <v>119495</v>
      </c>
    </row>
    <row r="32" spans="1:3" ht="15.75" x14ac:dyDescent="0.25">
      <c r="A32" s="6" t="s">
        <v>44</v>
      </c>
      <c r="B32" s="6"/>
      <c r="C32" s="22">
        <v>1261290</v>
      </c>
    </row>
    <row r="33" spans="1:3" ht="15.75" hidden="1" x14ac:dyDescent="0.25">
      <c r="A33" s="6" t="s">
        <v>240</v>
      </c>
      <c r="B33" s="6"/>
      <c r="C33" s="10">
        <v>0</v>
      </c>
    </row>
    <row r="34" spans="1:3" ht="15.75" x14ac:dyDescent="0.25">
      <c r="A34" s="6" t="s">
        <v>45</v>
      </c>
      <c r="B34" s="6"/>
      <c r="C34" s="22">
        <v>-215216</v>
      </c>
    </row>
    <row r="35" spans="1:3" ht="15.75" x14ac:dyDescent="0.25">
      <c r="A35" s="6" t="s">
        <v>46</v>
      </c>
      <c r="B35" s="6"/>
      <c r="C35" s="22">
        <v>0</v>
      </c>
    </row>
    <row r="36" spans="1:3" ht="15.75" x14ac:dyDescent="0.25">
      <c r="A36" s="6" t="s">
        <v>47</v>
      </c>
      <c r="B36" s="6"/>
      <c r="C36" s="22">
        <v>-834584</v>
      </c>
    </row>
    <row r="37" spans="1:3" ht="15.75" x14ac:dyDescent="0.25">
      <c r="A37" s="6" t="s">
        <v>48</v>
      </c>
      <c r="B37" s="6"/>
      <c r="C37" s="22">
        <v>-154852</v>
      </c>
    </row>
    <row r="38" spans="1:3" ht="15.75" hidden="1" x14ac:dyDescent="0.25">
      <c r="A38" s="6" t="s">
        <v>49</v>
      </c>
      <c r="B38" s="6"/>
      <c r="C38" s="10">
        <v>0</v>
      </c>
    </row>
    <row r="39" spans="1:3" ht="15.75" x14ac:dyDescent="0.25">
      <c r="A39" s="6" t="s">
        <v>317</v>
      </c>
      <c r="B39" s="6"/>
      <c r="C39" s="10">
        <v>-1020000</v>
      </c>
    </row>
    <row r="40" spans="1:3" ht="15.75" hidden="1" x14ac:dyDescent="0.25">
      <c r="A40" s="6" t="s">
        <v>134</v>
      </c>
      <c r="B40" s="6"/>
      <c r="C40" s="10">
        <v>0</v>
      </c>
    </row>
    <row r="41" spans="1:3" ht="15.75" x14ac:dyDescent="0.25">
      <c r="A41" s="6" t="s">
        <v>50</v>
      </c>
      <c r="B41" s="6"/>
      <c r="C41" s="11">
        <f>SUM(C31:C40)</f>
        <v>-843867</v>
      </c>
    </row>
    <row r="42" spans="1:3" ht="15.75" x14ac:dyDescent="0.25">
      <c r="A42" s="6"/>
      <c r="B42" s="6"/>
      <c r="C42" s="22"/>
    </row>
    <row r="43" spans="1:3" ht="15.75" x14ac:dyDescent="0.25">
      <c r="A43" s="7" t="s">
        <v>51</v>
      </c>
      <c r="B43" s="7"/>
      <c r="C43" s="22"/>
    </row>
    <row r="44" spans="1:3" ht="15.75" x14ac:dyDescent="0.25">
      <c r="A44" s="6" t="s">
        <v>52</v>
      </c>
      <c r="B44" s="6"/>
      <c r="C44" s="22">
        <f>-C9</f>
        <v>56318</v>
      </c>
    </row>
    <row r="45" spans="1:3" ht="15.75" x14ac:dyDescent="0.25">
      <c r="A45" s="6" t="s">
        <v>53</v>
      </c>
      <c r="B45" s="6"/>
      <c r="C45" s="11">
        <f>C44</f>
        <v>56318</v>
      </c>
    </row>
    <row r="46" spans="1:3" ht="15.75" x14ac:dyDescent="0.25">
      <c r="A46" s="6"/>
      <c r="B46" s="6"/>
      <c r="C46" s="19"/>
    </row>
    <row r="47" spans="1:3" ht="15.75" x14ac:dyDescent="0.25">
      <c r="A47" s="7" t="s">
        <v>54</v>
      </c>
      <c r="B47" s="7"/>
      <c r="C47" s="24">
        <f>C45+C41+C28</f>
        <v>-3165946</v>
      </c>
    </row>
    <row r="48" spans="1:3" ht="15.75" x14ac:dyDescent="0.25">
      <c r="A48" s="6"/>
      <c r="B48" s="6"/>
      <c r="C48" s="19"/>
    </row>
    <row r="49" spans="1:3" ht="15.75" x14ac:dyDescent="0.25">
      <c r="A49" s="7" t="s">
        <v>329</v>
      </c>
      <c r="B49" s="7"/>
      <c r="C49" s="168">
        <f>11723993+3752041+1427696</f>
        <v>16903730</v>
      </c>
    </row>
    <row r="50" spans="1:3" ht="15.75" x14ac:dyDescent="0.25">
      <c r="A50" s="6"/>
      <c r="B50" s="6"/>
      <c r="C50" s="19"/>
    </row>
    <row r="51" spans="1:3" ht="16.5" thickBot="1" x14ac:dyDescent="0.3">
      <c r="A51" s="26" t="s">
        <v>358</v>
      </c>
      <c r="B51" s="7"/>
      <c r="C51" s="25">
        <f>C49+C47</f>
        <v>13737784</v>
      </c>
    </row>
    <row r="52" spans="1:3" ht="16.5" thickTop="1" x14ac:dyDescent="0.25">
      <c r="A52" s="27" t="s">
        <v>275</v>
      </c>
      <c r="B52" s="6"/>
      <c r="C52" s="19"/>
    </row>
    <row r="53" spans="1:3" ht="15.75" x14ac:dyDescent="0.25">
      <c r="A53" s="27" t="s">
        <v>359</v>
      </c>
      <c r="B53" s="6"/>
      <c r="C53" s="18">
        <v>1429086</v>
      </c>
    </row>
    <row r="54" spans="1:3" ht="15.75" x14ac:dyDescent="0.25">
      <c r="A54" s="27" t="s">
        <v>360</v>
      </c>
      <c r="B54" s="6"/>
      <c r="C54" s="20">
        <v>12308698</v>
      </c>
    </row>
    <row r="55" spans="1:3" ht="16.5" thickBot="1" x14ac:dyDescent="0.3">
      <c r="A55" s="6"/>
      <c r="B55" s="6"/>
      <c r="C55" s="23">
        <f>SUM(C53:C54)</f>
        <v>13737784</v>
      </c>
    </row>
    <row r="56" spans="1:3" ht="16.5" thickTop="1" x14ac:dyDescent="0.25">
      <c r="A56" s="6"/>
      <c r="B56" s="6"/>
    </row>
    <row r="57" spans="1:3" ht="18.75" x14ac:dyDescent="0.3">
      <c r="C57" s="139" t="s">
        <v>199</v>
      </c>
    </row>
  </sheetData>
  <mergeCells count="3">
    <mergeCell ref="A1:C1"/>
    <mergeCell ref="A2:C2"/>
    <mergeCell ref="A3:C3"/>
  </mergeCells>
  <phoneticPr fontId="8" type="noConversion"/>
  <printOptions horizontalCentered="1" verticalCentered="1"/>
  <pageMargins left="0.25" right="0.25" top="0.5" bottom="0.5" header="0.5" footer="0.5"/>
  <pageSetup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opLeftCell="A8" zoomScale="110" zoomScaleNormal="110" workbookViewId="0">
      <selection activeCell="O36" sqref="O36"/>
    </sheetView>
  </sheetViews>
  <sheetFormatPr defaultRowHeight="12.75" x14ac:dyDescent="0.2"/>
  <cols>
    <col min="1" max="1" width="2" style="13" customWidth="1"/>
    <col min="2" max="2" width="40.7109375" style="13" customWidth="1"/>
    <col min="3" max="3" width="12.7109375" style="13" bestFit="1" customWidth="1"/>
    <col min="4" max="4" width="13.5703125" style="13" bestFit="1" customWidth="1"/>
    <col min="5" max="5" width="13.28515625" style="13" bestFit="1" customWidth="1"/>
    <col min="6" max="6" width="12.42578125" style="13" bestFit="1" customWidth="1"/>
    <col min="7" max="7" width="4.5703125" style="13" customWidth="1"/>
    <col min="8" max="9" width="14" style="13" bestFit="1" customWidth="1"/>
    <col min="10" max="10" width="14.42578125" style="13" bestFit="1" customWidth="1"/>
    <col min="11" max="11" width="13.42578125" style="13" bestFit="1" customWidth="1"/>
    <col min="12" max="12" width="13.28515625" style="13" bestFit="1" customWidth="1"/>
    <col min="13" max="14" width="12" style="13" customWidth="1"/>
    <col min="15" max="15" width="10.7109375" style="13" bestFit="1" customWidth="1"/>
  </cols>
  <sheetData>
    <row r="1" spans="1:15" s="64" customFormat="1" ht="18.75" x14ac:dyDescent="0.3">
      <c r="A1" s="410" t="s">
        <v>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63"/>
      <c r="N1" s="63"/>
      <c r="O1" s="12"/>
    </row>
    <row r="2" spans="1:15" s="64" customFormat="1" ht="18.75" x14ac:dyDescent="0.3">
      <c r="A2" s="411" t="s">
        <v>177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63"/>
      <c r="N2" s="63"/>
      <c r="O2" s="12"/>
    </row>
    <row r="3" spans="1:15" s="65" customFormat="1" ht="18.75" x14ac:dyDescent="0.3">
      <c r="A3" s="412" t="s">
        <v>336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63"/>
      <c r="N3" s="63"/>
      <c r="O3" s="12"/>
    </row>
    <row r="4" spans="1:15" ht="25.5" x14ac:dyDescent="0.35">
      <c r="A4" s="66"/>
      <c r="B4" s="66"/>
      <c r="C4" s="66"/>
      <c r="D4" s="66"/>
      <c r="E4" s="66"/>
      <c r="F4" s="66"/>
      <c r="G4" s="66"/>
      <c r="H4" s="67"/>
      <c r="I4" s="66"/>
      <c r="J4" s="66"/>
      <c r="K4" s="66"/>
      <c r="L4" s="66"/>
      <c r="M4" s="67"/>
      <c r="N4" s="67"/>
    </row>
    <row r="5" spans="1:15" s="92" customFormat="1" ht="15.75" x14ac:dyDescent="0.25">
      <c r="A5" s="91"/>
      <c r="B5" s="91"/>
      <c r="C5" s="398" t="s">
        <v>155</v>
      </c>
      <c r="D5" s="414"/>
      <c r="E5" s="414"/>
      <c r="F5" s="414"/>
      <c r="G5" s="68"/>
      <c r="H5" s="398" t="s">
        <v>156</v>
      </c>
      <c r="I5" s="399"/>
      <c r="J5" s="399"/>
      <c r="K5" s="399"/>
      <c r="L5" s="68"/>
      <c r="M5" s="68"/>
      <c r="N5" s="6"/>
    </row>
    <row r="6" spans="1:15" ht="48" x14ac:dyDescent="0.3">
      <c r="A6" s="70" t="s">
        <v>178</v>
      </c>
      <c r="B6" s="71"/>
      <c r="C6" s="415" t="s">
        <v>158</v>
      </c>
      <c r="D6" s="370"/>
      <c r="E6" s="222" t="s">
        <v>313</v>
      </c>
      <c r="F6" s="72" t="s">
        <v>312</v>
      </c>
      <c r="H6" s="415" t="s">
        <v>158</v>
      </c>
      <c r="I6" s="416"/>
      <c r="J6" s="222" t="s">
        <v>313</v>
      </c>
      <c r="K6" s="72" t="s">
        <v>312</v>
      </c>
      <c r="L6"/>
      <c r="M6"/>
      <c r="N6"/>
      <c r="O6"/>
    </row>
    <row r="7" spans="1:15" ht="15.75" x14ac:dyDescent="0.25">
      <c r="A7" s="71" t="s">
        <v>161</v>
      </c>
      <c r="B7" s="71"/>
      <c r="C7" s="401"/>
      <c r="D7" s="401"/>
      <c r="E7" s="93"/>
      <c r="F7" s="94"/>
      <c r="H7" s="409"/>
      <c r="I7" s="409"/>
      <c r="J7" s="93"/>
      <c r="K7" s="94"/>
      <c r="L7"/>
      <c r="M7"/>
      <c r="N7"/>
      <c r="O7"/>
    </row>
    <row r="8" spans="1:15" ht="15.75" x14ac:dyDescent="0.25">
      <c r="A8" s="68" t="s">
        <v>179</v>
      </c>
      <c r="B8" s="68" t="s">
        <v>182</v>
      </c>
      <c r="C8" s="404">
        <f>91+10+10</f>
        <v>111</v>
      </c>
      <c r="D8" s="405"/>
      <c r="E8" s="235">
        <f>39+13+13</f>
        <v>65</v>
      </c>
      <c r="F8" s="366">
        <f>(C8-E8)/E8</f>
        <v>0.70769230769230773</v>
      </c>
      <c r="H8" s="404">
        <f>382+72+80</f>
        <v>534</v>
      </c>
      <c r="I8" s="405"/>
      <c r="J8" s="235">
        <f>357+97+88</f>
        <v>542</v>
      </c>
      <c r="K8" s="234">
        <f>(H8-J8)/J8</f>
        <v>-1.4760147601476014E-2</v>
      </c>
      <c r="L8"/>
      <c r="M8"/>
      <c r="N8"/>
      <c r="O8"/>
    </row>
    <row r="9" spans="1:15" ht="15.75" x14ac:dyDescent="0.25">
      <c r="A9" s="68" t="s">
        <v>180</v>
      </c>
      <c r="B9" s="68"/>
      <c r="C9" s="406">
        <v>3297</v>
      </c>
      <c r="D9" s="407"/>
      <c r="E9" s="236">
        <v>3085</v>
      </c>
      <c r="F9" s="234">
        <f>(C9-E9)/E9</f>
        <v>6.8719611021069688E-2</v>
      </c>
      <c r="H9" s="406">
        <v>18947</v>
      </c>
      <c r="I9" s="407"/>
      <c r="J9" s="236">
        <v>17807</v>
      </c>
      <c r="K9" s="232">
        <f>(H9-J9)/J9</f>
        <v>6.4019767507160111E-2</v>
      </c>
      <c r="L9"/>
      <c r="M9"/>
      <c r="N9"/>
      <c r="O9"/>
    </row>
    <row r="10" spans="1:15" ht="15.75" x14ac:dyDescent="0.25">
      <c r="A10" s="71" t="s">
        <v>162</v>
      </c>
      <c r="B10" s="68"/>
      <c r="C10" s="402"/>
      <c r="D10" s="402"/>
      <c r="E10" s="237"/>
      <c r="F10" s="240"/>
      <c r="G10" s="106"/>
      <c r="H10" s="402"/>
      <c r="I10" s="402"/>
      <c r="J10" s="237"/>
      <c r="K10" s="239"/>
      <c r="L10" s="3"/>
      <c r="M10"/>
      <c r="N10"/>
      <c r="O10"/>
    </row>
    <row r="11" spans="1:15" ht="15.75" x14ac:dyDescent="0.25">
      <c r="A11" s="68" t="s">
        <v>181</v>
      </c>
      <c r="B11" s="67"/>
      <c r="C11" s="404">
        <v>1098</v>
      </c>
      <c r="D11" s="408"/>
      <c r="E11" s="235">
        <v>1044</v>
      </c>
      <c r="F11" s="232">
        <f>(C11-E11)/E11</f>
        <v>5.1724137931034482E-2</v>
      </c>
      <c r="H11" s="404">
        <v>6334</v>
      </c>
      <c r="I11" s="408"/>
      <c r="J11" s="235">
        <v>6558</v>
      </c>
      <c r="K11" s="232">
        <f>(H11-J11)/J11</f>
        <v>-3.4156755108264714E-2</v>
      </c>
      <c r="L11"/>
      <c r="M11"/>
      <c r="N11"/>
      <c r="O11"/>
    </row>
    <row r="12" spans="1:15" ht="15.75" x14ac:dyDescent="0.25">
      <c r="A12" s="71" t="s">
        <v>163</v>
      </c>
      <c r="B12" s="67"/>
      <c r="C12" s="403"/>
      <c r="D12" s="403"/>
      <c r="E12" s="238"/>
      <c r="F12" s="233"/>
      <c r="H12" s="403"/>
      <c r="I12" s="403"/>
      <c r="J12" s="238"/>
      <c r="K12" s="233"/>
      <c r="L12"/>
      <c r="M12"/>
      <c r="N12"/>
      <c r="O12"/>
    </row>
    <row r="13" spans="1:15" ht="15.75" x14ac:dyDescent="0.25">
      <c r="A13" s="68" t="s">
        <v>273</v>
      </c>
      <c r="B13" s="67"/>
      <c r="C13" s="404">
        <v>2194</v>
      </c>
      <c r="D13" s="408"/>
      <c r="E13" s="235">
        <v>2202</v>
      </c>
      <c r="F13" s="234">
        <f>(C13-E13)/E13</f>
        <v>-3.6330608537693005E-3</v>
      </c>
      <c r="H13" s="404">
        <v>12226</v>
      </c>
      <c r="I13" s="408"/>
      <c r="J13" s="235">
        <v>12204</v>
      </c>
      <c r="K13" s="232">
        <f>(H13-J13)/J13</f>
        <v>1.8026876433956079E-3</v>
      </c>
      <c r="L13"/>
      <c r="M13"/>
      <c r="N13"/>
      <c r="O13"/>
    </row>
    <row r="14" spans="1:15" ht="15.75" x14ac:dyDescent="0.25">
      <c r="A14" s="68"/>
      <c r="B14" s="67"/>
      <c r="C14" s="77"/>
      <c r="D14" s="78"/>
      <c r="E14" s="78"/>
      <c r="F14"/>
      <c r="G14" s="68"/>
      <c r="H14" s="77"/>
      <c r="I14" s="78"/>
      <c r="J14"/>
      <c r="K14"/>
      <c r="L14"/>
      <c r="M14"/>
      <c r="N14"/>
      <c r="O14"/>
    </row>
    <row r="15" spans="1:15" ht="15.75" x14ac:dyDescent="0.25">
      <c r="A15" s="68"/>
      <c r="B15" s="67"/>
      <c r="C15" s="398" t="s">
        <v>155</v>
      </c>
      <c r="D15" s="399"/>
      <c r="E15" s="399"/>
      <c r="F15" s="400"/>
      <c r="G15" s="68"/>
      <c r="H15" s="398" t="s">
        <v>156</v>
      </c>
      <c r="I15" s="399"/>
      <c r="J15" s="399"/>
      <c r="K15" s="400"/>
      <c r="L15"/>
      <c r="M15"/>
      <c r="N15"/>
      <c r="O15"/>
    </row>
    <row r="16" spans="1:15" ht="20.25" x14ac:dyDescent="0.3">
      <c r="A16" s="70" t="s">
        <v>164</v>
      </c>
      <c r="B16" s="67"/>
      <c r="C16" s="76"/>
      <c r="D16" s="68"/>
      <c r="E16" s="68"/>
      <c r="F16" s="68"/>
      <c r="G16"/>
      <c r="H16"/>
      <c r="I16"/>
      <c r="J16" s="68"/>
      <c r="K16" s="76"/>
      <c r="L16"/>
      <c r="M16"/>
      <c r="N16"/>
      <c r="O16"/>
    </row>
    <row r="17" spans="1:15" ht="15.75" x14ac:dyDescent="0.25">
      <c r="A17" s="71" t="s">
        <v>161</v>
      </c>
      <c r="B17" s="67"/>
      <c r="C17" s="80" t="s">
        <v>158</v>
      </c>
      <c r="D17" s="80" t="s">
        <v>159</v>
      </c>
      <c r="E17" s="72" t="s">
        <v>160</v>
      </c>
      <c r="F17" s="81" t="s">
        <v>157</v>
      </c>
      <c r="G17" s="68"/>
      <c r="H17" s="80" t="s">
        <v>158</v>
      </c>
      <c r="I17" s="80" t="s">
        <v>159</v>
      </c>
      <c r="J17" s="80" t="s">
        <v>160</v>
      </c>
      <c r="K17" s="81" t="s">
        <v>157</v>
      </c>
      <c r="L17"/>
      <c r="M17"/>
      <c r="N17"/>
      <c r="O17"/>
    </row>
    <row r="18" spans="1:15" ht="15.75" x14ac:dyDescent="0.25">
      <c r="A18" s="68" t="s">
        <v>165</v>
      </c>
      <c r="B18" s="67"/>
      <c r="C18" s="82">
        <f>3259252+6726-1</f>
        <v>3265977</v>
      </c>
      <c r="D18" s="82">
        <f>3192642+3893+1</f>
        <v>3196536</v>
      </c>
      <c r="E18" s="73">
        <f>C18-D18</f>
        <v>69441</v>
      </c>
      <c r="F18" s="75">
        <f>E18/D18</f>
        <v>2.1723828544399311E-2</v>
      </c>
      <c r="G18" s="68"/>
      <c r="H18" s="82">
        <f>17175297+24982-1</f>
        <v>17200278</v>
      </c>
      <c r="I18" s="82">
        <f>15671211+21817</f>
        <v>15693028</v>
      </c>
      <c r="J18" s="73">
        <f>H18-I18</f>
        <v>1507250</v>
      </c>
      <c r="K18" s="304">
        <f>J18/I18</f>
        <v>9.6045836405823024E-2</v>
      </c>
      <c r="L18"/>
      <c r="M18"/>
      <c r="N18"/>
      <c r="O18"/>
    </row>
    <row r="19" spans="1:15" ht="15.75" x14ac:dyDescent="0.25">
      <c r="A19" s="68" t="s">
        <v>166</v>
      </c>
      <c r="B19" s="67"/>
      <c r="C19" s="83">
        <f>1789972+616517-1</f>
        <v>2406488</v>
      </c>
      <c r="D19" s="83">
        <f>1719372+579253</f>
        <v>2298625</v>
      </c>
      <c r="E19" s="83">
        <f>D19-C19</f>
        <v>-107863</v>
      </c>
      <c r="F19" s="75">
        <f>E19/D19</f>
        <v>-4.6925009516558813E-2</v>
      </c>
      <c r="G19" s="68"/>
      <c r="H19" s="83">
        <f>10368507+3721173-5</f>
        <v>14089675</v>
      </c>
      <c r="I19" s="83">
        <f>10062176+3530568-3</f>
        <v>13592741</v>
      </c>
      <c r="J19" s="83">
        <f>I19-H19</f>
        <v>-496934</v>
      </c>
      <c r="K19" s="75">
        <f>J19/I19</f>
        <v>-3.6558777953615097E-2</v>
      </c>
      <c r="L19"/>
      <c r="M19"/>
      <c r="N19"/>
      <c r="O19"/>
    </row>
    <row r="20" spans="1:15" ht="15.75" x14ac:dyDescent="0.25">
      <c r="A20" s="68" t="s">
        <v>167</v>
      </c>
      <c r="B20" s="67"/>
      <c r="C20" s="73">
        <f>C18-C19</f>
        <v>859489</v>
      </c>
      <c r="D20" s="74">
        <f>D18-D19</f>
        <v>897911</v>
      </c>
      <c r="E20" s="73">
        <f>C20-D20</f>
        <v>-38422</v>
      </c>
      <c r="F20" s="75">
        <f>E20/D20</f>
        <v>-4.2790432459341742E-2</v>
      </c>
      <c r="G20" s="68"/>
      <c r="H20" s="73">
        <f>H18-H19</f>
        <v>3110603</v>
      </c>
      <c r="I20" s="73">
        <f>I18-I19</f>
        <v>2100287</v>
      </c>
      <c r="J20" s="73">
        <f>H20-I20</f>
        <v>1010316</v>
      </c>
      <c r="K20" s="303">
        <f>J20/I20</f>
        <v>0.48103711540375194</v>
      </c>
      <c r="L20"/>
      <c r="M20"/>
      <c r="N20"/>
      <c r="O20"/>
    </row>
    <row r="21" spans="1:15" ht="15.75" x14ac:dyDescent="0.25">
      <c r="A21" s="71" t="s">
        <v>162</v>
      </c>
      <c r="B21" s="67"/>
      <c r="C21" s="76"/>
      <c r="D21" s="68"/>
      <c r="E21" s="68"/>
      <c r="F21" s="68"/>
      <c r="G21" s="68"/>
      <c r="H21" s="76"/>
      <c r="I21" s="68"/>
      <c r="J21" s="68"/>
      <c r="K21" s="68"/>
      <c r="L21"/>
      <c r="M21"/>
      <c r="N21"/>
      <c r="O21"/>
    </row>
    <row r="22" spans="1:15" ht="15.75" x14ac:dyDescent="0.25">
      <c r="A22" s="68" t="s">
        <v>165</v>
      </c>
      <c r="B22" s="67"/>
      <c r="C22" s="73">
        <f>392209+4410</f>
        <v>396619</v>
      </c>
      <c r="D22" s="73">
        <f>281784+4658</f>
        <v>286442</v>
      </c>
      <c r="E22" s="73">
        <f>C22-D22</f>
        <v>110177</v>
      </c>
      <c r="F22" s="303">
        <f>E22/D22</f>
        <v>0.38463982237241745</v>
      </c>
      <c r="G22" s="68"/>
      <c r="H22" s="73">
        <f>1691941+29480</f>
        <v>1721421</v>
      </c>
      <c r="I22" s="73">
        <f>1843094+24785</f>
        <v>1867879</v>
      </c>
      <c r="J22" s="73">
        <f>H22-I22</f>
        <v>-146458</v>
      </c>
      <c r="K22" s="75">
        <f>J22/I22</f>
        <v>-7.8408719194337534E-2</v>
      </c>
      <c r="L22" s="84"/>
      <c r="N22"/>
      <c r="O22"/>
    </row>
    <row r="23" spans="1:15" ht="15.75" x14ac:dyDescent="0.25">
      <c r="A23" s="68" t="s">
        <v>166</v>
      </c>
      <c r="B23" s="67"/>
      <c r="C23" s="83">
        <f>293032+169227</f>
        <v>462259</v>
      </c>
      <c r="D23" s="83">
        <f>230367+160134</f>
        <v>390501</v>
      </c>
      <c r="E23" s="73">
        <f>D23-C23</f>
        <v>-71758</v>
      </c>
      <c r="F23" s="305">
        <f>E23/D23</f>
        <v>-0.18375881239740743</v>
      </c>
      <c r="G23" s="68"/>
      <c r="H23" s="83">
        <f>1557249+1000098</f>
        <v>2557347</v>
      </c>
      <c r="I23" s="83">
        <f>1383850+952599</f>
        <v>2336449</v>
      </c>
      <c r="J23" s="73">
        <f>I23-H23</f>
        <v>-220898</v>
      </c>
      <c r="K23" s="304">
        <f>J23/I23</f>
        <v>-9.4544327738375636E-2</v>
      </c>
      <c r="L23" s="84"/>
      <c r="N23"/>
      <c r="O23"/>
    </row>
    <row r="24" spans="1:15" ht="15.75" x14ac:dyDescent="0.25">
      <c r="A24" s="68" t="s">
        <v>167</v>
      </c>
      <c r="B24" s="67"/>
      <c r="C24" s="73">
        <f>C22-C23</f>
        <v>-65640</v>
      </c>
      <c r="D24" s="74">
        <f>D22-D23</f>
        <v>-104059</v>
      </c>
      <c r="E24" s="73">
        <f>C24-D24</f>
        <v>38419</v>
      </c>
      <c r="F24" s="303">
        <f>-E24/D24</f>
        <v>0.36920400926397523</v>
      </c>
      <c r="G24" s="68"/>
      <c r="H24" s="73">
        <f>H22-H23</f>
        <v>-835926</v>
      </c>
      <c r="I24" s="74">
        <f>I22-I23</f>
        <v>-468570</v>
      </c>
      <c r="J24" s="73">
        <f>H24-I24</f>
        <v>-367356</v>
      </c>
      <c r="K24" s="303">
        <f>J24/I24</f>
        <v>0.78399385363979768</v>
      </c>
      <c r="L24" s="84"/>
      <c r="N24"/>
      <c r="O24"/>
    </row>
    <row r="25" spans="1:15" ht="15.75" x14ac:dyDescent="0.25">
      <c r="A25" s="71" t="s">
        <v>163</v>
      </c>
      <c r="B25" s="67"/>
      <c r="C25" s="76"/>
      <c r="D25" s="68"/>
      <c r="E25" s="68"/>
      <c r="F25" s="68"/>
      <c r="G25" s="68"/>
      <c r="H25" s="76"/>
      <c r="I25" s="68"/>
      <c r="J25" s="68"/>
      <c r="K25" s="68"/>
      <c r="L25" s="84"/>
      <c r="N25"/>
      <c r="O25"/>
    </row>
    <row r="26" spans="1:15" ht="15.75" x14ac:dyDescent="0.25">
      <c r="A26" s="68" t="s">
        <v>165</v>
      </c>
      <c r="B26" s="67"/>
      <c r="C26" s="73">
        <f>511614+2403</f>
        <v>514017</v>
      </c>
      <c r="D26" s="73">
        <f>460776+1625</f>
        <v>462401</v>
      </c>
      <c r="E26" s="73">
        <f>C26-D26</f>
        <v>51616</v>
      </c>
      <c r="F26" s="303">
        <f>E26/D26</f>
        <v>0.11162605617202385</v>
      </c>
      <c r="G26" s="68"/>
      <c r="H26" s="73">
        <f>2667611+9709</f>
        <v>2677320</v>
      </c>
      <c r="I26" s="73">
        <f>2527196+9020</f>
        <v>2536216</v>
      </c>
      <c r="J26" s="73">
        <f>H26-I26</f>
        <v>141104</v>
      </c>
      <c r="K26" s="75">
        <f>J26/I26</f>
        <v>5.5635639866635965E-2</v>
      </c>
      <c r="L26" s="84"/>
      <c r="N26"/>
      <c r="O26"/>
    </row>
    <row r="27" spans="1:15" ht="15.75" x14ac:dyDescent="0.25">
      <c r="A27" s="68" t="s">
        <v>166</v>
      </c>
      <c r="B27" s="67"/>
      <c r="C27" s="73">
        <f>682833+201291</f>
        <v>884124</v>
      </c>
      <c r="D27" s="73">
        <f>644172+183710</f>
        <v>827882</v>
      </c>
      <c r="E27" s="73">
        <f>D27-C27</f>
        <v>-56242</v>
      </c>
      <c r="F27" s="75">
        <f>E27/D27</f>
        <v>-6.7934802302743624E-2</v>
      </c>
      <c r="G27" s="68"/>
      <c r="H27" s="73">
        <f>3814475+1168453</f>
        <v>4982928</v>
      </c>
      <c r="I27" s="73">
        <f>3970031+1117034</f>
        <v>5087065</v>
      </c>
      <c r="J27" s="73">
        <f>I27-H27</f>
        <v>104137</v>
      </c>
      <c r="K27" s="75">
        <f>J27/I27</f>
        <v>2.0470939529964725E-2</v>
      </c>
      <c r="L27" s="84"/>
      <c r="N27"/>
      <c r="O27"/>
    </row>
    <row r="28" spans="1:15" ht="15.75" x14ac:dyDescent="0.25">
      <c r="A28" s="68" t="s">
        <v>167</v>
      </c>
      <c r="B28" s="67"/>
      <c r="C28" s="73">
        <f>C26-C27</f>
        <v>-370107</v>
      </c>
      <c r="D28" s="74">
        <f>D26-D27</f>
        <v>-365481</v>
      </c>
      <c r="E28" s="73">
        <f>C28-D28</f>
        <v>-4626</v>
      </c>
      <c r="F28" s="304">
        <f>-E28/D28</f>
        <v>-1.2657292718362925E-2</v>
      </c>
      <c r="G28" s="68"/>
      <c r="H28" s="73">
        <f>H26-H27</f>
        <v>-2305608</v>
      </c>
      <c r="I28" s="74">
        <f>I26-I27</f>
        <v>-2550849</v>
      </c>
      <c r="J28" s="73">
        <f>H28-I28</f>
        <v>245241</v>
      </c>
      <c r="K28" s="303">
        <f>-J28/I28</f>
        <v>9.6140931901496321E-2</v>
      </c>
      <c r="L28" s="84"/>
      <c r="N28"/>
      <c r="O28"/>
    </row>
    <row r="29" spans="1:15" ht="15.75" x14ac:dyDescent="0.25">
      <c r="A29" s="71" t="s">
        <v>168</v>
      </c>
      <c r="B29" s="67"/>
      <c r="C29" s="77"/>
      <c r="D29" s="78"/>
      <c r="E29" s="78"/>
      <c r="F29" s="79"/>
      <c r="G29" s="85"/>
      <c r="H29" s="77"/>
      <c r="I29" s="78"/>
      <c r="J29" s="78"/>
      <c r="K29" s="79"/>
      <c r="L29" s="84"/>
      <c r="N29"/>
      <c r="O29"/>
    </row>
    <row r="30" spans="1:15" ht="15.75" x14ac:dyDescent="0.25">
      <c r="A30" s="68" t="s">
        <v>165</v>
      </c>
      <c r="B30" s="67"/>
      <c r="C30" s="73">
        <f t="shared" ref="C30:E31" si="0">C18+C22+C26</f>
        <v>4176613</v>
      </c>
      <c r="D30" s="73">
        <f t="shared" si="0"/>
        <v>3945379</v>
      </c>
      <c r="E30" s="73">
        <f t="shared" si="0"/>
        <v>231234</v>
      </c>
      <c r="F30" s="75">
        <f>E30/D30</f>
        <v>5.8608818062852772E-2</v>
      </c>
      <c r="G30" s="68"/>
      <c r="H30" s="73">
        <f>H18+H22+H26</f>
        <v>21599019</v>
      </c>
      <c r="I30" s="73">
        <f t="shared" ref="I30:J31" si="1">I18+I22+I26</f>
        <v>20097123</v>
      </c>
      <c r="J30" s="73">
        <f t="shared" si="1"/>
        <v>1501896</v>
      </c>
      <c r="K30" s="75">
        <f>J30/I30</f>
        <v>7.4731890728837153E-2</v>
      </c>
      <c r="L30" s="84"/>
      <c r="N30"/>
      <c r="O30"/>
    </row>
    <row r="31" spans="1:15" ht="15.75" x14ac:dyDescent="0.25">
      <c r="A31" s="68" t="s">
        <v>166</v>
      </c>
      <c r="B31" s="67"/>
      <c r="C31" s="73">
        <f t="shared" si="0"/>
        <v>3752871</v>
      </c>
      <c r="D31" s="73">
        <f t="shared" si="0"/>
        <v>3517008</v>
      </c>
      <c r="E31" s="73">
        <f t="shared" si="0"/>
        <v>-235863</v>
      </c>
      <c r="F31" s="75">
        <f>E31/D31</f>
        <v>-6.7063538098292644E-2</v>
      </c>
      <c r="G31" s="68"/>
      <c r="H31" s="73">
        <f>H19+H23+H27</f>
        <v>21629950</v>
      </c>
      <c r="I31" s="73">
        <f t="shared" si="1"/>
        <v>21016255</v>
      </c>
      <c r="J31" s="73">
        <f t="shared" si="1"/>
        <v>-613695</v>
      </c>
      <c r="K31" s="75">
        <f>J31/I31</f>
        <v>-2.9200968488439068E-2</v>
      </c>
      <c r="L31" s="84"/>
      <c r="N31"/>
      <c r="O31"/>
    </row>
    <row r="32" spans="1:15" ht="15.75" x14ac:dyDescent="0.25">
      <c r="A32" s="68" t="s">
        <v>167</v>
      </c>
      <c r="B32" s="67"/>
      <c r="C32" s="73">
        <f>C30-C31</f>
        <v>423742</v>
      </c>
      <c r="D32" s="73">
        <f>D30-D31</f>
        <v>428371</v>
      </c>
      <c r="E32" s="73">
        <f>E30+E31</f>
        <v>-4629</v>
      </c>
      <c r="F32" s="303">
        <f>-E32/D32</f>
        <v>1.080605363108147E-2</v>
      </c>
      <c r="G32" s="68"/>
      <c r="H32" s="73">
        <f>H30-H31</f>
        <v>-30931</v>
      </c>
      <c r="I32" s="73">
        <f>I30-I31</f>
        <v>-919132</v>
      </c>
      <c r="J32" s="73">
        <f>J30+J31</f>
        <v>888201</v>
      </c>
      <c r="K32" s="303">
        <f>-J32/I32</f>
        <v>0.96634759751591714</v>
      </c>
      <c r="L32" s="84"/>
      <c r="N32"/>
      <c r="O32"/>
    </row>
    <row r="33" spans="1:15" ht="15.75" x14ac:dyDescent="0.25">
      <c r="A33" s="71" t="s">
        <v>168</v>
      </c>
      <c r="B33" s="67"/>
      <c r="C33" s="77"/>
      <c r="D33" s="78"/>
      <c r="E33" s="78"/>
      <c r="F33" s="79"/>
      <c r="G33" s="85"/>
      <c r="H33" s="77"/>
      <c r="I33" s="78"/>
      <c r="J33" s="78"/>
      <c r="K33" s="79"/>
      <c r="L33" s="84"/>
      <c r="N33"/>
      <c r="O33"/>
    </row>
    <row r="34" spans="1:15" ht="15.75" x14ac:dyDescent="0.25">
      <c r="A34" s="68" t="s">
        <v>169</v>
      </c>
      <c r="B34" s="68" t="s">
        <v>170</v>
      </c>
      <c r="C34" s="83">
        <v>246550</v>
      </c>
      <c r="D34" s="86">
        <v>218508</v>
      </c>
      <c r="E34" s="86">
        <f>C34-D34</f>
        <v>28042</v>
      </c>
      <c r="F34" s="303">
        <f>E34/D34</f>
        <v>0.12833397404214034</v>
      </c>
      <c r="G34" s="68"/>
      <c r="H34" s="83">
        <v>1362111</v>
      </c>
      <c r="I34" s="86">
        <v>1317649</v>
      </c>
      <c r="J34" s="86">
        <f>H34-I34</f>
        <v>44462</v>
      </c>
      <c r="K34" s="75">
        <f>J34/I34</f>
        <v>3.3743432431550438E-2</v>
      </c>
      <c r="L34" s="84"/>
      <c r="N34"/>
      <c r="O34"/>
    </row>
    <row r="35" spans="1:15" ht="15.75" x14ac:dyDescent="0.25">
      <c r="A35" s="68" t="s">
        <v>171</v>
      </c>
      <c r="B35" s="68" t="s">
        <v>172</v>
      </c>
      <c r="C35" s="83">
        <f>76892-35899</f>
        <v>40993</v>
      </c>
      <c r="D35" s="86">
        <f>-5242-37448</f>
        <v>-42690</v>
      </c>
      <c r="E35" s="73">
        <f>C35-D35</f>
        <v>83683</v>
      </c>
      <c r="F35" s="303">
        <f>-E35/D35</f>
        <v>1.9602483017100023</v>
      </c>
      <c r="G35" s="68"/>
      <c r="H35" s="83">
        <f>54558-215216-1</f>
        <v>-160659</v>
      </c>
      <c r="I35" s="86">
        <f>-31521-224585</f>
        <v>-256106</v>
      </c>
      <c r="J35" s="73">
        <f>H35-I35</f>
        <v>95447</v>
      </c>
      <c r="K35" s="303">
        <f>-J35/I35</f>
        <v>0.37268552864829407</v>
      </c>
      <c r="L35" s="151"/>
      <c r="N35"/>
      <c r="O35"/>
    </row>
    <row r="36" spans="1:15" ht="15.75" x14ac:dyDescent="0.25">
      <c r="A36" s="68" t="s">
        <v>173</v>
      </c>
      <c r="B36" s="68" t="s">
        <v>174</v>
      </c>
      <c r="C36" s="82">
        <f>C32+C34+C35</f>
        <v>711285</v>
      </c>
      <c r="D36" s="82">
        <f>D32+D34+D35</f>
        <v>604189</v>
      </c>
      <c r="E36" s="82">
        <f>C36-D36</f>
        <v>107096</v>
      </c>
      <c r="F36" s="303">
        <f>E36/D36</f>
        <v>0.17725579247553333</v>
      </c>
      <c r="G36"/>
      <c r="H36" s="82">
        <f>H32+H34+H35</f>
        <v>1170521</v>
      </c>
      <c r="I36" s="82">
        <f>I32+I34+I35</f>
        <v>142411</v>
      </c>
      <c r="J36" s="82">
        <f>H36-I36</f>
        <v>1028110</v>
      </c>
      <c r="K36" s="303">
        <f>J36/I36</f>
        <v>7.2193159236294946</v>
      </c>
      <c r="L36" s="84"/>
      <c r="N36"/>
      <c r="O36"/>
    </row>
    <row r="37" spans="1:15" ht="15.75" x14ac:dyDescent="0.25">
      <c r="A37" s="68"/>
      <c r="B37" s="87"/>
      <c r="C37" s="88"/>
      <c r="D37" s="88"/>
      <c r="E37" s="89"/>
      <c r="F37" s="79"/>
      <c r="G37"/>
      <c r="H37" s="88"/>
      <c r="I37" s="88"/>
      <c r="J37" s="89"/>
      <c r="K37" s="90"/>
      <c r="L37" s="84"/>
      <c r="N37"/>
      <c r="O37"/>
    </row>
    <row r="38" spans="1:15" ht="15.75" x14ac:dyDescent="0.25">
      <c r="A38" s="67"/>
      <c r="B38" s="68" t="s">
        <v>175</v>
      </c>
      <c r="C38" s="83">
        <v>108196</v>
      </c>
      <c r="D38" s="83">
        <v>0</v>
      </c>
      <c r="E38" s="83">
        <f>C38-D38</f>
        <v>108196</v>
      </c>
      <c r="F38" s="75" t="e">
        <f>(C38-D38)/D38</f>
        <v>#DIV/0!</v>
      </c>
      <c r="G38" s="68"/>
      <c r="H38" s="83">
        <v>108196</v>
      </c>
      <c r="I38" s="83">
        <v>0</v>
      </c>
      <c r="J38" s="83">
        <f>H38-I38</f>
        <v>108196</v>
      </c>
      <c r="K38" s="75" t="e">
        <f>(H38-I38)/I38</f>
        <v>#DIV/0!</v>
      </c>
      <c r="L38" s="67"/>
      <c r="N38"/>
      <c r="O38"/>
    </row>
    <row r="39" spans="1:15" x14ac:dyDescent="0.2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N39"/>
      <c r="O39"/>
    </row>
    <row r="40" spans="1:15" ht="15.75" x14ac:dyDescent="0.25">
      <c r="A40" s="67"/>
      <c r="B40" s="69" t="s">
        <v>176</v>
      </c>
      <c r="C40" s="82">
        <f>C36+C38</f>
        <v>819481</v>
      </c>
      <c r="D40" s="82">
        <f>D36+D38</f>
        <v>604189</v>
      </c>
      <c r="E40" s="82">
        <f>E36+E38</f>
        <v>215292</v>
      </c>
      <c r="F40" s="303">
        <f>E40/D40</f>
        <v>0.35633220730599202</v>
      </c>
      <c r="G40" s="67"/>
      <c r="H40" s="82">
        <f>H36+H38+1</f>
        <v>1278718</v>
      </c>
      <c r="I40" s="82">
        <f>I36+I38</f>
        <v>142411</v>
      </c>
      <c r="J40" s="82">
        <f>J36+J38+1</f>
        <v>1136307</v>
      </c>
      <c r="K40" s="303">
        <f>J40/I40</f>
        <v>7.9790676282028778</v>
      </c>
      <c r="L40" s="67"/>
      <c r="N40"/>
      <c r="O40"/>
    </row>
    <row r="41" spans="1:15" x14ac:dyDescent="0.2">
      <c r="A41" s="67"/>
      <c r="B41" s="67"/>
      <c r="C41" s="67"/>
      <c r="D41" s="67"/>
      <c r="E41" s="67"/>
      <c r="F41" s="67"/>
      <c r="G41" s="67"/>
      <c r="H41"/>
      <c r="I41"/>
      <c r="J41"/>
      <c r="K41"/>
      <c r="L41" s="67"/>
      <c r="N41"/>
      <c r="O41"/>
    </row>
    <row r="42" spans="1:15" ht="18.75" x14ac:dyDescent="0.3">
      <c r="A42" s="67"/>
      <c r="B42" s="67"/>
      <c r="C42" s="67"/>
      <c r="D42" s="67"/>
      <c r="E42" s="67"/>
      <c r="F42" s="67"/>
      <c r="G42" s="67"/>
      <c r="H42"/>
      <c r="I42"/>
      <c r="J42"/>
      <c r="K42" s="139" t="s">
        <v>109</v>
      </c>
      <c r="L42" s="67"/>
      <c r="N42"/>
      <c r="O42"/>
    </row>
    <row r="43" spans="1:15" x14ac:dyDescent="0.2">
      <c r="A43" s="67"/>
      <c r="B43" s="67"/>
      <c r="C43" s="67"/>
      <c r="D43" s="67"/>
      <c r="E43" s="67"/>
      <c r="F43" s="67"/>
      <c r="G43"/>
      <c r="H43" s="67"/>
      <c r="I43"/>
      <c r="J43"/>
      <c r="K43"/>
      <c r="L43"/>
      <c r="M43" s="67"/>
      <c r="N43" s="67"/>
    </row>
    <row r="44" spans="1:15" x14ac:dyDescent="0.2">
      <c r="B44" s="231"/>
      <c r="G44"/>
      <c r="K44"/>
      <c r="L44"/>
    </row>
    <row r="45" spans="1:15" x14ac:dyDescent="0.2">
      <c r="K45"/>
      <c r="L45"/>
    </row>
    <row r="46" spans="1:15" x14ac:dyDescent="0.2">
      <c r="I46"/>
      <c r="J46"/>
      <c r="K46"/>
      <c r="L46"/>
    </row>
    <row r="47" spans="1:15" x14ac:dyDescent="0.2">
      <c r="I47"/>
      <c r="J47"/>
      <c r="K47"/>
      <c r="L47"/>
    </row>
  </sheetData>
  <mergeCells count="23">
    <mergeCell ref="H6:I6"/>
    <mergeCell ref="C6:D6"/>
    <mergeCell ref="C8:D8"/>
    <mergeCell ref="C9:D9"/>
    <mergeCell ref="C11:D11"/>
    <mergeCell ref="A1:L1"/>
    <mergeCell ref="A2:L2"/>
    <mergeCell ref="A3:L3"/>
    <mergeCell ref="H5:K5"/>
    <mergeCell ref="C5:F5"/>
    <mergeCell ref="C15:F15"/>
    <mergeCell ref="H15:K15"/>
    <mergeCell ref="C7:D7"/>
    <mergeCell ref="C10:D10"/>
    <mergeCell ref="C12:D12"/>
    <mergeCell ref="H8:I8"/>
    <mergeCell ref="H9:I9"/>
    <mergeCell ref="H11:I11"/>
    <mergeCell ref="C13:D13"/>
    <mergeCell ref="H13:I13"/>
    <mergeCell ref="H7:I7"/>
    <mergeCell ref="H10:I10"/>
    <mergeCell ref="H12:I12"/>
  </mergeCells>
  <phoneticPr fontId="8" type="noConversion"/>
  <pageMargins left="0.75" right="0.75" top="1" bottom="1" header="0.5" footer="0.5"/>
  <pageSetup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7"/>
  <sheetViews>
    <sheetView topLeftCell="A26" zoomScale="130" zoomScaleNormal="130" workbookViewId="0">
      <selection activeCell="I49" sqref="I49"/>
    </sheetView>
  </sheetViews>
  <sheetFormatPr defaultRowHeight="12.75" x14ac:dyDescent="0.2"/>
  <cols>
    <col min="1" max="1" width="8.7109375" customWidth="1"/>
    <col min="2" max="2" width="17.28515625" bestFit="1" customWidth="1"/>
    <col min="3" max="14" width="6.7109375" customWidth="1"/>
    <col min="15" max="15" width="15.42578125" customWidth="1"/>
    <col min="17" max="17" width="5" customWidth="1"/>
    <col min="18" max="18" width="11.5703125" bestFit="1" customWidth="1"/>
    <col min="19" max="19" width="13.42578125" bestFit="1" customWidth="1"/>
  </cols>
  <sheetData>
    <row r="1" spans="1:14" ht="20.25" x14ac:dyDescent="0.3">
      <c r="A1" s="417" t="s">
        <v>7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ht="18.75" x14ac:dyDescent="0.3">
      <c r="A2" s="411" t="s">
        <v>185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1:14" ht="18.75" x14ac:dyDescent="0.3">
      <c r="A3" s="413">
        <v>42916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6" spans="1:14" ht="12.75" customHeight="1" x14ac:dyDescent="0.2"/>
    <row r="7" spans="1:14" ht="12.75" customHeight="1" x14ac:dyDescent="0.2"/>
    <row r="8" spans="1:14" ht="12.75" customHeight="1" x14ac:dyDescent="0.2"/>
    <row r="9" spans="1:14" ht="12.75" customHeight="1" x14ac:dyDescent="0.2"/>
    <row r="10" spans="1:14" ht="12.75" customHeight="1" x14ac:dyDescent="0.2"/>
    <row r="11" spans="1:14" ht="12.75" customHeight="1" x14ac:dyDescent="0.2"/>
    <row r="12" spans="1:14" ht="12.75" customHeight="1" x14ac:dyDescent="0.2"/>
    <row r="13" spans="1:14" ht="12.75" customHeight="1" x14ac:dyDescent="0.2"/>
    <row r="14" spans="1:14" ht="12.75" customHeight="1" x14ac:dyDescent="0.2"/>
    <row r="15" spans="1:14" ht="12.75" customHeight="1" x14ac:dyDescent="0.2"/>
    <row r="16" spans="1:14" ht="12.75" customHeight="1" x14ac:dyDescent="0.2"/>
    <row r="17" spans="2:7" ht="12.75" customHeight="1" x14ac:dyDescent="0.2"/>
    <row r="18" spans="2:7" ht="12.75" customHeight="1" x14ac:dyDescent="0.2"/>
    <row r="19" spans="2:7" ht="12.75" customHeight="1" x14ac:dyDescent="0.2"/>
    <row r="20" spans="2:7" ht="12.75" customHeight="1" x14ac:dyDescent="0.2"/>
    <row r="21" spans="2:7" ht="12.75" customHeight="1" x14ac:dyDescent="0.2"/>
    <row r="22" spans="2:7" ht="12.75" customHeight="1" x14ac:dyDescent="0.2"/>
    <row r="23" spans="2:7" ht="12.75" customHeight="1" x14ac:dyDescent="0.2"/>
    <row r="24" spans="2:7" ht="12.75" customHeight="1" x14ac:dyDescent="0.2"/>
    <row r="25" spans="2:7" ht="12.75" customHeight="1" x14ac:dyDescent="0.2"/>
    <row r="26" spans="2:7" ht="12.75" customHeight="1" x14ac:dyDescent="0.2"/>
    <row r="27" spans="2:7" ht="12.75" customHeight="1" x14ac:dyDescent="0.2"/>
    <row r="28" spans="2:7" ht="12.75" customHeight="1" x14ac:dyDescent="0.2"/>
    <row r="29" spans="2:7" ht="12.75" customHeight="1" x14ac:dyDescent="0.2"/>
    <row r="30" spans="2:7" ht="15.75" customHeight="1" x14ac:dyDescent="0.25">
      <c r="B30" s="14" t="s">
        <v>10</v>
      </c>
      <c r="E30" s="15" t="s">
        <v>14</v>
      </c>
      <c r="F30" s="15"/>
      <c r="G30" s="15"/>
    </row>
    <row r="31" spans="2:7" ht="15.75" customHeight="1" x14ac:dyDescent="0.25">
      <c r="B31" s="14"/>
      <c r="E31" s="16" t="s">
        <v>125</v>
      </c>
      <c r="F31" s="16"/>
      <c r="G31" s="16"/>
    </row>
    <row r="32" spans="2:7" ht="15.75" customHeight="1" x14ac:dyDescent="0.25">
      <c r="B32" s="14"/>
      <c r="E32" s="13"/>
      <c r="F32" s="13"/>
      <c r="G32" s="13"/>
    </row>
    <row r="33" spans="2:19" ht="15.75" customHeight="1" x14ac:dyDescent="0.25">
      <c r="B33" s="14" t="s">
        <v>11</v>
      </c>
      <c r="E33" s="13" t="s">
        <v>15</v>
      </c>
      <c r="F33" s="13"/>
      <c r="G33" s="13"/>
    </row>
    <row r="34" spans="2:19" ht="15.75" customHeight="1" x14ac:dyDescent="0.25">
      <c r="B34" s="14"/>
      <c r="E34" s="13" t="s">
        <v>16</v>
      </c>
      <c r="F34" s="13"/>
      <c r="G34" s="13"/>
    </row>
    <row r="35" spans="2:19" ht="15.75" customHeight="1" x14ac:dyDescent="0.25">
      <c r="B35" s="14"/>
      <c r="E35" s="13" t="s">
        <v>17</v>
      </c>
      <c r="F35" s="13"/>
      <c r="G35" s="13"/>
    </row>
    <row r="36" spans="2:19" ht="15.75" customHeight="1" x14ac:dyDescent="0.25">
      <c r="B36" s="14"/>
      <c r="E36" s="13"/>
      <c r="F36" s="13"/>
      <c r="G36" s="13"/>
    </row>
    <row r="37" spans="2:19" ht="15.75" customHeight="1" x14ac:dyDescent="0.25">
      <c r="B37" s="14" t="s">
        <v>12</v>
      </c>
      <c r="E37" s="13" t="s">
        <v>128</v>
      </c>
      <c r="F37" s="13"/>
      <c r="G37" s="13"/>
    </row>
    <row r="38" spans="2:19" ht="15.75" customHeight="1" x14ac:dyDescent="0.25">
      <c r="B38" s="14"/>
      <c r="E38" s="13"/>
      <c r="F38" s="13"/>
      <c r="G38" s="13"/>
    </row>
    <row r="39" spans="2:19" ht="15.75" customHeight="1" x14ac:dyDescent="0.25">
      <c r="B39" s="14" t="s">
        <v>13</v>
      </c>
      <c r="E39" s="13" t="s">
        <v>18</v>
      </c>
      <c r="F39" s="13"/>
      <c r="G39" s="13"/>
    </row>
    <row r="40" spans="2:19" ht="15.75" customHeight="1" x14ac:dyDescent="0.25">
      <c r="B40" s="14"/>
      <c r="E40" s="13" t="s">
        <v>123</v>
      </c>
      <c r="F40" s="13"/>
      <c r="G40" s="13"/>
    </row>
    <row r="41" spans="2:19" ht="15.75" customHeight="1" x14ac:dyDescent="0.2">
      <c r="B41" s="13"/>
      <c r="E41" s="13" t="s">
        <v>19</v>
      </c>
      <c r="F41" s="13"/>
      <c r="G41" s="13"/>
    </row>
    <row r="42" spans="2:19" ht="15.75" customHeight="1" x14ac:dyDescent="0.2">
      <c r="B42" s="13"/>
      <c r="E42" s="13"/>
      <c r="F42" s="13"/>
      <c r="G42" s="13"/>
    </row>
    <row r="43" spans="2:19" ht="15.75" customHeight="1" x14ac:dyDescent="0.25">
      <c r="B43" s="14" t="s">
        <v>126</v>
      </c>
      <c r="E43" s="13" t="s">
        <v>319</v>
      </c>
      <c r="F43" s="13"/>
      <c r="G43" s="13"/>
    </row>
    <row r="44" spans="2:19" ht="15.75" customHeight="1" x14ac:dyDescent="0.2">
      <c r="B44" s="13"/>
      <c r="E44" s="13" t="s">
        <v>315</v>
      </c>
      <c r="F44" s="13"/>
      <c r="G44" s="13"/>
    </row>
    <row r="45" spans="2:19" ht="15.75" customHeight="1" x14ac:dyDescent="0.2">
      <c r="B45" s="13"/>
      <c r="Q45" s="13"/>
      <c r="R45" s="13"/>
      <c r="S45" s="13"/>
    </row>
    <row r="46" spans="2:19" ht="12.75" customHeight="1" x14ac:dyDescent="0.2">
      <c r="B46" s="101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3"/>
    </row>
    <row r="47" spans="2:19" ht="12.75" customHeight="1" x14ac:dyDescent="0.2">
      <c r="B47" s="51"/>
      <c r="C47" s="60" t="s">
        <v>104</v>
      </c>
      <c r="D47" s="60" t="s">
        <v>105</v>
      </c>
      <c r="E47" s="60" t="s">
        <v>144</v>
      </c>
      <c r="F47" s="60" t="s">
        <v>145</v>
      </c>
      <c r="G47" s="60" t="s">
        <v>98</v>
      </c>
      <c r="H47" s="60" t="s">
        <v>106</v>
      </c>
      <c r="I47" s="60" t="s">
        <v>147</v>
      </c>
      <c r="J47" s="60" t="s">
        <v>152</v>
      </c>
      <c r="K47" s="60" t="s">
        <v>153</v>
      </c>
      <c r="L47" s="60" t="s">
        <v>154</v>
      </c>
      <c r="M47" s="60" t="s">
        <v>102</v>
      </c>
      <c r="N47" s="61" t="s">
        <v>103</v>
      </c>
    </row>
    <row r="48" spans="2:19" ht="12.75" customHeight="1" x14ac:dyDescent="0.2">
      <c r="B48" s="59">
        <v>2017</v>
      </c>
      <c r="C48" s="45">
        <v>202</v>
      </c>
      <c r="D48" s="45">
        <v>206</v>
      </c>
      <c r="E48" s="148">
        <v>197</v>
      </c>
      <c r="F48" s="148">
        <v>196</v>
      </c>
      <c r="G48" s="148">
        <v>191</v>
      </c>
      <c r="H48" s="148">
        <v>189</v>
      </c>
      <c r="I48" s="148"/>
      <c r="J48" s="148"/>
      <c r="K48" s="148"/>
      <c r="L48" s="148"/>
      <c r="M48" s="148"/>
      <c r="N48" s="159"/>
    </row>
    <row r="49" spans="2:18" ht="12.75" customHeight="1" x14ac:dyDescent="0.2">
      <c r="B49" s="59">
        <v>2016</v>
      </c>
      <c r="C49" s="45">
        <v>169</v>
      </c>
      <c r="D49" s="45">
        <v>181</v>
      </c>
      <c r="E49" s="148">
        <v>185</v>
      </c>
      <c r="F49" s="148">
        <v>181</v>
      </c>
      <c r="G49" s="148">
        <v>187</v>
      </c>
      <c r="H49" s="148">
        <v>185</v>
      </c>
      <c r="I49" s="148">
        <v>196</v>
      </c>
      <c r="J49" s="148">
        <v>202</v>
      </c>
      <c r="K49" s="148">
        <v>208</v>
      </c>
      <c r="L49" s="148">
        <v>212</v>
      </c>
      <c r="M49" s="148">
        <v>218</v>
      </c>
      <c r="N49" s="159">
        <v>213</v>
      </c>
    </row>
    <row r="50" spans="2:18" ht="12.75" customHeight="1" x14ac:dyDescent="0.2">
      <c r="B50" s="59">
        <v>2015</v>
      </c>
      <c r="C50" s="45">
        <v>146</v>
      </c>
      <c r="D50" s="45">
        <v>136</v>
      </c>
      <c r="E50" s="148">
        <v>137</v>
      </c>
      <c r="F50" s="148">
        <v>130</v>
      </c>
      <c r="G50" s="148">
        <v>133</v>
      </c>
      <c r="H50" s="148">
        <v>136</v>
      </c>
      <c r="I50" s="148">
        <v>145</v>
      </c>
      <c r="J50" s="148">
        <v>158</v>
      </c>
      <c r="K50" s="148">
        <v>166</v>
      </c>
      <c r="L50" s="148">
        <v>166</v>
      </c>
      <c r="M50" s="148">
        <v>169</v>
      </c>
      <c r="N50" s="159">
        <v>175</v>
      </c>
    </row>
    <row r="51" spans="2:18" ht="12.75" customHeight="1" x14ac:dyDescent="0.2">
      <c r="B51" s="59">
        <v>2014</v>
      </c>
      <c r="C51" s="45">
        <v>99</v>
      </c>
      <c r="D51" s="45">
        <v>95</v>
      </c>
      <c r="E51" s="148">
        <v>100</v>
      </c>
      <c r="F51" s="148">
        <v>96</v>
      </c>
      <c r="G51" s="148">
        <v>95</v>
      </c>
      <c r="H51" s="148">
        <v>100</v>
      </c>
      <c r="I51" s="148">
        <v>115</v>
      </c>
      <c r="J51" s="148">
        <v>127</v>
      </c>
      <c r="K51" s="148">
        <v>140</v>
      </c>
      <c r="L51" s="148">
        <v>143</v>
      </c>
      <c r="M51" s="148">
        <v>146</v>
      </c>
      <c r="N51" s="159">
        <v>150</v>
      </c>
    </row>
    <row r="52" spans="2:18" ht="12.75" customHeight="1" x14ac:dyDescent="0.2">
      <c r="B52" s="51" t="s">
        <v>124</v>
      </c>
      <c r="C52" s="45">
        <v>90</v>
      </c>
      <c r="D52" s="45">
        <v>90</v>
      </c>
      <c r="E52" s="45">
        <v>90</v>
      </c>
      <c r="F52" s="45">
        <v>90</v>
      </c>
      <c r="G52" s="45">
        <v>90</v>
      </c>
      <c r="H52" s="45">
        <v>90</v>
      </c>
      <c r="I52" s="45">
        <v>90</v>
      </c>
      <c r="J52" s="45">
        <v>90</v>
      </c>
      <c r="K52" s="45">
        <v>90</v>
      </c>
      <c r="L52" s="45">
        <v>90</v>
      </c>
      <c r="M52" s="45">
        <v>90</v>
      </c>
      <c r="N52" s="53">
        <v>90</v>
      </c>
    </row>
    <row r="53" spans="2:18" ht="12.75" customHeight="1" x14ac:dyDescent="0.2">
      <c r="B53" s="104" t="s">
        <v>306</v>
      </c>
      <c r="C53" s="208">
        <v>220</v>
      </c>
      <c r="D53" s="208">
        <v>220</v>
      </c>
      <c r="E53" s="208">
        <v>220</v>
      </c>
      <c r="F53" s="208">
        <v>220</v>
      </c>
      <c r="G53" s="208">
        <v>220</v>
      </c>
      <c r="H53" s="208">
        <v>220</v>
      </c>
      <c r="I53" s="208">
        <v>220</v>
      </c>
      <c r="J53" s="208">
        <v>220</v>
      </c>
      <c r="K53" s="208">
        <v>220</v>
      </c>
      <c r="L53" s="208">
        <v>220</v>
      </c>
      <c r="M53" s="208">
        <v>220</v>
      </c>
      <c r="N53" s="209">
        <v>220</v>
      </c>
    </row>
    <row r="54" spans="2:18" ht="12.75" customHeight="1" x14ac:dyDescent="0.2"/>
    <row r="55" spans="2:18" ht="12.75" customHeight="1" x14ac:dyDescent="0.25">
      <c r="B55" s="13"/>
      <c r="N55" s="42" t="s">
        <v>127</v>
      </c>
    </row>
    <row r="56" spans="2:18" ht="12.75" customHeight="1" x14ac:dyDescent="0.2"/>
    <row r="59" spans="2:18" hidden="1" x14ac:dyDescent="0.2"/>
    <row r="60" spans="2:18" hidden="1" x14ac:dyDescent="0.2">
      <c r="O60" t="s">
        <v>246</v>
      </c>
      <c r="R60" s="166" t="s">
        <v>255</v>
      </c>
    </row>
    <row r="61" spans="2:18" hidden="1" x14ac:dyDescent="0.2">
      <c r="O61" t="s">
        <v>247</v>
      </c>
      <c r="R61" s="166" t="s">
        <v>256</v>
      </c>
    </row>
    <row r="62" spans="2:18" hidden="1" x14ac:dyDescent="0.2">
      <c r="O62" t="s">
        <v>248</v>
      </c>
      <c r="R62" s="166" t="s">
        <v>257</v>
      </c>
    </row>
    <row r="63" spans="2:18" hidden="1" x14ac:dyDescent="0.2">
      <c r="O63" t="s">
        <v>249</v>
      </c>
      <c r="R63" s="166" t="s">
        <v>258</v>
      </c>
    </row>
    <row r="64" spans="2:18" hidden="1" x14ac:dyDescent="0.2">
      <c r="O64" t="s">
        <v>250</v>
      </c>
      <c r="R64" s="166" t="s">
        <v>259</v>
      </c>
    </row>
    <row r="65" spans="15:20" hidden="1" x14ac:dyDescent="0.2">
      <c r="O65" t="s">
        <v>251</v>
      </c>
      <c r="R65" s="166" t="s">
        <v>260</v>
      </c>
    </row>
    <row r="66" spans="15:20" hidden="1" x14ac:dyDescent="0.2">
      <c r="O66" t="s">
        <v>252</v>
      </c>
      <c r="R66" s="166" t="s">
        <v>261</v>
      </c>
    </row>
    <row r="67" spans="15:20" hidden="1" x14ac:dyDescent="0.2">
      <c r="O67" t="s">
        <v>253</v>
      </c>
      <c r="R67" s="166" t="s">
        <v>262</v>
      </c>
    </row>
    <row r="68" spans="15:20" hidden="1" x14ac:dyDescent="0.2">
      <c r="O68" t="s">
        <v>254</v>
      </c>
      <c r="R68" s="166" t="s">
        <v>263</v>
      </c>
    </row>
    <row r="69" spans="15:20" hidden="1" x14ac:dyDescent="0.2">
      <c r="R69" s="166"/>
    </row>
    <row r="70" spans="15:20" hidden="1" x14ac:dyDescent="0.2">
      <c r="O70" t="s">
        <v>264</v>
      </c>
      <c r="R70" s="166" t="s">
        <v>265</v>
      </c>
    </row>
    <row r="71" spans="15:20" hidden="1" x14ac:dyDescent="0.2">
      <c r="R71" s="166"/>
    </row>
    <row r="72" spans="15:20" hidden="1" x14ac:dyDescent="0.2">
      <c r="O72" t="s">
        <v>266</v>
      </c>
      <c r="R72" s="166" t="s">
        <v>268</v>
      </c>
    </row>
    <row r="73" spans="15:20" hidden="1" x14ac:dyDescent="0.2">
      <c r="O73" t="s">
        <v>267</v>
      </c>
      <c r="R73" s="166" t="s">
        <v>269</v>
      </c>
    </row>
    <row r="74" spans="15:20" hidden="1" x14ac:dyDescent="0.2">
      <c r="R74" s="166"/>
    </row>
    <row r="75" spans="15:20" hidden="1" x14ac:dyDescent="0.2">
      <c r="O75" t="s">
        <v>112</v>
      </c>
      <c r="R75" s="166"/>
      <c r="S75" s="4"/>
    </row>
    <row r="76" spans="15:20" hidden="1" x14ac:dyDescent="0.2">
      <c r="O76" t="s">
        <v>270</v>
      </c>
      <c r="R76" s="166"/>
      <c r="S76" s="5"/>
    </row>
    <row r="77" spans="15:20" hidden="1" x14ac:dyDescent="0.2">
      <c r="R77" s="166"/>
      <c r="S77">
        <f>SUM(S60:S76)</f>
        <v>0</v>
      </c>
      <c r="T77" t="s">
        <v>271</v>
      </c>
    </row>
  </sheetData>
  <mergeCells count="3">
    <mergeCell ref="A1:N1"/>
    <mergeCell ref="A2:N2"/>
    <mergeCell ref="A3:N3"/>
  </mergeCells>
  <phoneticPr fontId="8" type="noConversion"/>
  <printOptions horizontalCentered="1" verticalCentered="1"/>
  <pageMargins left="0.25" right="0.25" top="0.5" bottom="0.5" header="0.5" footer="0.5"/>
  <pageSetup scale="9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abSelected="1" topLeftCell="B24" zoomScale="110" zoomScaleNormal="110" workbookViewId="0">
      <selection activeCell="H49" sqref="H49"/>
    </sheetView>
  </sheetViews>
  <sheetFormatPr defaultRowHeight="18.75" x14ac:dyDescent="0.3"/>
  <cols>
    <col min="1" max="1" width="23.5703125" style="12" customWidth="1"/>
    <col min="2" max="3" width="13.42578125" customWidth="1"/>
    <col min="4" max="4" width="13.28515625" bestFit="1" customWidth="1"/>
    <col min="5" max="6" width="12.85546875" bestFit="1" customWidth="1"/>
    <col min="7" max="7" width="13.140625" customWidth="1"/>
    <col min="8" max="8" width="12.85546875" customWidth="1"/>
    <col min="9" max="9" width="13.28515625" customWidth="1"/>
    <col min="10" max="10" width="13.140625" customWidth="1"/>
    <col min="11" max="12" width="12.42578125" customWidth="1"/>
    <col min="13" max="13" width="12.85546875" customWidth="1"/>
    <col min="14" max="14" width="13.42578125" bestFit="1" customWidth="1"/>
    <col min="15" max="15" width="12.28515625" bestFit="1" customWidth="1"/>
  </cols>
  <sheetData>
    <row r="1" spans="1:9" x14ac:dyDescent="0.3">
      <c r="B1" s="13"/>
      <c r="C1" s="13"/>
      <c r="D1" s="13"/>
      <c r="E1" s="13"/>
      <c r="F1" s="13"/>
      <c r="G1" s="13"/>
      <c r="H1" s="13"/>
      <c r="I1" s="13"/>
    </row>
    <row r="2" spans="1:9" x14ac:dyDescent="0.3">
      <c r="B2" s="13"/>
      <c r="C2" s="13"/>
      <c r="D2" s="13"/>
      <c r="E2" s="13"/>
      <c r="F2" s="13"/>
      <c r="G2" s="13"/>
      <c r="H2" s="13"/>
      <c r="I2" s="13"/>
    </row>
    <row r="3" spans="1:9" x14ac:dyDescent="0.3">
      <c r="B3" s="13"/>
      <c r="C3" s="13"/>
      <c r="D3" s="13"/>
      <c r="E3" s="13"/>
      <c r="F3" s="13"/>
      <c r="G3" s="13"/>
      <c r="H3" s="13"/>
      <c r="I3" s="13"/>
    </row>
    <row r="4" spans="1:9" x14ac:dyDescent="0.3">
      <c r="B4" s="13"/>
      <c r="C4" s="13"/>
      <c r="D4" s="13"/>
      <c r="E4" s="13"/>
      <c r="F4" s="13"/>
      <c r="G4" s="13"/>
      <c r="H4" s="13"/>
      <c r="I4" s="13"/>
    </row>
    <row r="5" spans="1:9" x14ac:dyDescent="0.3">
      <c r="B5" s="13"/>
      <c r="C5" s="13"/>
      <c r="D5" s="13"/>
      <c r="E5" s="13"/>
      <c r="F5" s="13"/>
      <c r="G5" s="13"/>
      <c r="H5" s="13"/>
      <c r="I5" s="13"/>
    </row>
    <row r="6" spans="1:9" x14ac:dyDescent="0.3">
      <c r="B6" s="13"/>
      <c r="C6" s="13"/>
      <c r="D6" s="13"/>
      <c r="E6" s="13"/>
      <c r="F6" s="13"/>
      <c r="G6" s="13"/>
      <c r="H6" s="13"/>
      <c r="I6" s="13"/>
    </row>
    <row r="7" spans="1:9" x14ac:dyDescent="0.3">
      <c r="B7" s="13"/>
      <c r="C7" s="13"/>
      <c r="D7" s="13"/>
      <c r="E7" s="13"/>
      <c r="F7" s="13"/>
      <c r="G7" s="13"/>
      <c r="H7" s="13"/>
      <c r="I7" s="13"/>
    </row>
    <row r="8" spans="1:9" x14ac:dyDescent="0.3">
      <c r="B8" s="13"/>
      <c r="C8" s="13"/>
      <c r="D8" s="13"/>
      <c r="E8" s="13"/>
      <c r="F8" s="13"/>
      <c r="G8" s="13"/>
      <c r="H8" s="13"/>
      <c r="I8" s="13"/>
    </row>
    <row r="9" spans="1:9" x14ac:dyDescent="0.3">
      <c r="B9" s="13"/>
      <c r="C9" s="13"/>
      <c r="D9" s="13"/>
      <c r="E9" s="13"/>
      <c r="F9" s="13"/>
      <c r="G9" s="13"/>
      <c r="H9" s="13"/>
      <c r="I9" s="13"/>
    </row>
    <row r="10" spans="1:9" x14ac:dyDescent="0.3">
      <c r="B10" s="13"/>
      <c r="C10" s="13"/>
      <c r="D10" s="13"/>
      <c r="E10" s="13"/>
      <c r="F10" s="13"/>
      <c r="G10" s="13"/>
      <c r="H10" s="13"/>
      <c r="I10" s="13"/>
    </row>
    <row r="11" spans="1:9" x14ac:dyDescent="0.3">
      <c r="B11" s="13"/>
      <c r="C11" s="13"/>
      <c r="D11" s="13"/>
      <c r="E11" s="13"/>
      <c r="F11" s="13"/>
      <c r="G11" s="13"/>
      <c r="H11" s="13"/>
      <c r="I11" s="13"/>
    </row>
    <row r="12" spans="1:9" x14ac:dyDescent="0.3">
      <c r="B12" s="13"/>
      <c r="C12" s="13"/>
      <c r="D12" s="13"/>
      <c r="E12" s="13"/>
      <c r="F12" s="13"/>
      <c r="G12" s="13"/>
      <c r="H12" s="13"/>
      <c r="I12" s="13"/>
    </row>
    <row r="13" spans="1:9" x14ac:dyDescent="0.3">
      <c r="B13" s="13"/>
      <c r="C13" s="13"/>
      <c r="D13" s="13"/>
      <c r="E13" s="13"/>
      <c r="F13" s="13"/>
      <c r="G13" s="13"/>
      <c r="H13" s="13"/>
      <c r="I13" s="13"/>
    </row>
    <row r="14" spans="1:9" x14ac:dyDescent="0.3">
      <c r="B14" s="13"/>
      <c r="C14" s="13"/>
      <c r="D14" s="13"/>
      <c r="E14" s="13"/>
      <c r="F14" s="13"/>
      <c r="G14" s="13"/>
      <c r="H14" s="13"/>
      <c r="I14" s="13"/>
    </row>
    <row r="15" spans="1:9" x14ac:dyDescent="0.3">
      <c r="B15" s="13"/>
      <c r="C15" s="13"/>
      <c r="D15" s="30"/>
      <c r="E15" s="13"/>
      <c r="F15" s="13"/>
      <c r="G15" s="13"/>
      <c r="H15" s="13"/>
      <c r="I15" s="13"/>
    </row>
    <row r="16" spans="1:9" x14ac:dyDescent="0.3">
      <c r="A16" s="38" t="s">
        <v>10</v>
      </c>
      <c r="B16" s="55" t="s">
        <v>135</v>
      </c>
      <c r="C16" s="37"/>
      <c r="D16" s="37"/>
      <c r="E16" s="12"/>
      <c r="F16" s="13"/>
      <c r="G16" s="13"/>
      <c r="H16" s="13"/>
      <c r="I16" s="13"/>
    </row>
    <row r="17" spans="1:15" x14ac:dyDescent="0.3">
      <c r="A17" s="38"/>
      <c r="B17" s="37" t="s">
        <v>136</v>
      </c>
      <c r="C17" s="37"/>
      <c r="D17" s="37"/>
      <c r="E17" s="12"/>
      <c r="F17" s="13"/>
      <c r="G17" s="13"/>
      <c r="H17" s="13"/>
      <c r="I17" s="13"/>
    </row>
    <row r="18" spans="1:15" x14ac:dyDescent="0.3">
      <c r="A18" s="38"/>
      <c r="B18" s="6"/>
      <c r="C18" s="6"/>
      <c r="D18" s="6"/>
      <c r="E18" s="12"/>
      <c r="F18" s="13"/>
      <c r="G18" s="13"/>
      <c r="H18" s="13"/>
      <c r="I18" s="13"/>
    </row>
    <row r="19" spans="1:15" x14ac:dyDescent="0.3">
      <c r="A19" s="38" t="s">
        <v>11</v>
      </c>
      <c r="B19" s="6" t="s">
        <v>137</v>
      </c>
      <c r="C19" s="6"/>
      <c r="D19" s="6"/>
      <c r="E19" s="12"/>
      <c r="F19" s="13"/>
      <c r="G19" s="13"/>
      <c r="H19" s="13"/>
      <c r="I19" s="13"/>
    </row>
    <row r="20" spans="1:15" x14ac:dyDescent="0.3">
      <c r="A20" s="38"/>
      <c r="B20" s="6" t="s">
        <v>138</v>
      </c>
      <c r="C20" s="6"/>
      <c r="D20" s="6"/>
      <c r="E20" s="12"/>
      <c r="F20" s="13"/>
      <c r="G20" s="13"/>
      <c r="H20" s="13"/>
      <c r="I20" s="13"/>
    </row>
    <row r="21" spans="1:15" x14ac:dyDescent="0.3">
      <c r="A21" s="38"/>
      <c r="B21" s="6"/>
      <c r="C21" s="6"/>
      <c r="D21" s="6"/>
      <c r="E21" s="12"/>
      <c r="F21" s="13"/>
      <c r="G21" s="13"/>
      <c r="H21" s="13"/>
      <c r="I21" s="13"/>
    </row>
    <row r="22" spans="1:15" x14ac:dyDescent="0.3">
      <c r="A22" s="38" t="s">
        <v>12</v>
      </c>
      <c r="B22" s="6" t="s">
        <v>139</v>
      </c>
      <c r="C22" s="6"/>
      <c r="D22" s="6"/>
      <c r="E22" s="12"/>
      <c r="F22" s="13"/>
      <c r="G22" s="13"/>
      <c r="H22" s="13"/>
      <c r="I22" s="13"/>
      <c r="L22" s="31"/>
      <c r="M22" s="56"/>
      <c r="O22" s="44"/>
    </row>
    <row r="23" spans="1:15" x14ac:dyDescent="0.3">
      <c r="A23" s="38"/>
      <c r="B23" s="6"/>
      <c r="C23" s="6"/>
      <c r="D23" s="6"/>
      <c r="E23" s="12"/>
      <c r="F23" s="13"/>
      <c r="G23" s="13"/>
      <c r="H23" s="13"/>
      <c r="I23" s="13"/>
      <c r="L23" s="31"/>
      <c r="M23" s="62"/>
    </row>
    <row r="24" spans="1:15" x14ac:dyDescent="0.3">
      <c r="A24" s="38" t="s">
        <v>13</v>
      </c>
      <c r="B24" s="6" t="s">
        <v>140</v>
      </c>
      <c r="C24" s="6"/>
      <c r="D24" s="6"/>
      <c r="E24" s="12"/>
      <c r="F24" s="13"/>
      <c r="G24" s="13"/>
      <c r="H24" s="13"/>
      <c r="I24" s="13"/>
      <c r="L24" s="31"/>
      <c r="M24" s="31"/>
    </row>
    <row r="25" spans="1:15" x14ac:dyDescent="0.3">
      <c r="A25" s="9"/>
      <c r="B25" s="6" t="s">
        <v>141</v>
      </c>
      <c r="C25" s="6"/>
      <c r="D25" s="6"/>
      <c r="E25" s="12"/>
      <c r="F25" s="13"/>
      <c r="G25" s="13"/>
      <c r="H25" s="13"/>
      <c r="I25" s="13"/>
      <c r="L25" s="18"/>
      <c r="M25" s="31"/>
    </row>
    <row r="26" spans="1:15" x14ac:dyDescent="0.3">
      <c r="A26" s="6"/>
      <c r="B26" s="6" t="s">
        <v>142</v>
      </c>
      <c r="C26" s="6"/>
      <c r="D26" s="6"/>
      <c r="E26" s="12"/>
      <c r="F26" s="13"/>
      <c r="G26" s="13"/>
      <c r="H26" s="13"/>
      <c r="I26" s="13"/>
      <c r="L26" s="43"/>
      <c r="M26" s="31"/>
    </row>
    <row r="27" spans="1:15" x14ac:dyDescent="0.3">
      <c r="B27" s="13"/>
      <c r="C27" s="13"/>
      <c r="D27" s="30"/>
      <c r="E27" s="13"/>
      <c r="F27" s="13"/>
      <c r="G27" s="13"/>
      <c r="H27" s="13"/>
      <c r="I27" s="13"/>
      <c r="M27" s="31"/>
    </row>
    <row r="28" spans="1:15" s="33" customFormat="1" x14ac:dyDescent="0.3">
      <c r="A28" s="32"/>
      <c r="B28" s="54">
        <v>42582</v>
      </c>
      <c r="C28" s="54" t="s">
        <v>152</v>
      </c>
      <c r="D28" s="54" t="s">
        <v>153</v>
      </c>
      <c r="E28" s="54" t="s">
        <v>154</v>
      </c>
      <c r="F28" s="54" t="s">
        <v>102</v>
      </c>
      <c r="G28" s="54" t="s">
        <v>103</v>
      </c>
      <c r="H28" s="57" t="s">
        <v>104</v>
      </c>
      <c r="I28" s="57" t="s">
        <v>105</v>
      </c>
      <c r="J28" s="57" t="s">
        <v>144</v>
      </c>
      <c r="K28" s="57" t="s">
        <v>145</v>
      </c>
      <c r="L28" s="57" t="s">
        <v>98</v>
      </c>
      <c r="M28" s="57">
        <v>42887</v>
      </c>
    </row>
    <row r="29" spans="1:15" s="31" customFormat="1" x14ac:dyDescent="0.3">
      <c r="A29" s="35" t="s">
        <v>108</v>
      </c>
      <c r="B29" s="156">
        <v>11623015</v>
      </c>
      <c r="C29" s="156">
        <v>11803892</v>
      </c>
      <c r="D29" s="156">
        <v>11796055</v>
      </c>
      <c r="E29" s="156">
        <v>12388464</v>
      </c>
      <c r="F29" s="156">
        <v>11710831</v>
      </c>
      <c r="G29" s="156">
        <v>10745553</v>
      </c>
      <c r="H29" s="156">
        <v>11458603</v>
      </c>
      <c r="I29" s="156">
        <v>11557499</v>
      </c>
      <c r="J29" s="156">
        <v>12471533</v>
      </c>
      <c r="K29" s="156">
        <v>12897063</v>
      </c>
      <c r="L29" s="156">
        <v>12731033</v>
      </c>
      <c r="M29" s="156">
        <v>14317462</v>
      </c>
    </row>
    <row r="30" spans="1:15" s="31" customFormat="1" x14ac:dyDescent="0.3">
      <c r="A30" s="35" t="s">
        <v>99</v>
      </c>
      <c r="B30" s="156">
        <v>31</v>
      </c>
      <c r="C30" s="156">
        <v>31</v>
      </c>
      <c r="D30" s="156">
        <v>30</v>
      </c>
      <c r="E30" s="156">
        <v>31</v>
      </c>
      <c r="F30" s="156">
        <v>30</v>
      </c>
      <c r="G30" s="156">
        <v>31</v>
      </c>
      <c r="H30" s="156">
        <v>31</v>
      </c>
      <c r="I30" s="156">
        <v>28</v>
      </c>
      <c r="J30" s="156">
        <v>31</v>
      </c>
      <c r="K30" s="156">
        <v>30</v>
      </c>
      <c r="L30" s="156">
        <v>31</v>
      </c>
      <c r="M30" s="156">
        <v>30</v>
      </c>
    </row>
    <row r="31" spans="1:15" s="31" customFormat="1" x14ac:dyDescent="0.3">
      <c r="A31" s="35" t="s">
        <v>100</v>
      </c>
      <c r="B31" s="156">
        <v>7485025</v>
      </c>
      <c r="C31" s="156">
        <v>7535996</v>
      </c>
      <c r="D31" s="156">
        <v>7259194</v>
      </c>
      <c r="E31" s="156">
        <v>7009983</v>
      </c>
      <c r="F31" s="156">
        <v>6283232</v>
      </c>
      <c r="G31" s="156">
        <v>5739059</v>
      </c>
      <c r="H31" s="156">
        <v>6236306</v>
      </c>
      <c r="I31" s="156">
        <v>5756372</v>
      </c>
      <c r="J31" s="156">
        <v>6901629</v>
      </c>
      <c r="K31" s="156">
        <v>6097798</v>
      </c>
      <c r="L31" s="156">
        <v>6482232</v>
      </c>
      <c r="M31" s="156">
        <v>8027368</v>
      </c>
    </row>
    <row r="32" spans="1:15" s="31" customFormat="1" x14ac:dyDescent="0.3">
      <c r="A32" s="35" t="s">
        <v>101</v>
      </c>
      <c r="B32" s="157">
        <v>215529.35869565216</v>
      </c>
      <c r="C32" s="157">
        <v>236173.9347826087</v>
      </c>
      <c r="D32" s="157">
        <f t="shared" ref="D32:L32" si="0">(SUM(B31:D31))/(SUM(B30:D30))</f>
        <v>242176.25</v>
      </c>
      <c r="E32" s="157">
        <f>(SUM(C31:E31))/(SUM(C30:E30))</f>
        <v>237012.75</v>
      </c>
      <c r="F32" s="157">
        <f t="shared" si="0"/>
        <v>225850.64835164836</v>
      </c>
      <c r="G32" s="157">
        <f t="shared" si="0"/>
        <v>206872.54347826086</v>
      </c>
      <c r="H32" s="157">
        <f t="shared" si="0"/>
        <v>198463.01086956522</v>
      </c>
      <c r="I32" s="157">
        <f t="shared" si="0"/>
        <v>197019.3</v>
      </c>
      <c r="J32" s="157">
        <f>(SUM(H31:J31))/(SUM(H30:J30))</f>
        <v>209936.74444444446</v>
      </c>
      <c r="K32" s="157">
        <f t="shared" si="0"/>
        <v>210739.31460674157</v>
      </c>
      <c r="L32" s="157">
        <f t="shared" si="0"/>
        <v>211757.16304347827</v>
      </c>
      <c r="M32" s="157">
        <f>(SUM(K31:M31))/(SUM(K30:M30))</f>
        <v>226454.92307692306</v>
      </c>
    </row>
    <row r="33" spans="1:20" x14ac:dyDescent="0.3">
      <c r="A33" s="36" t="s">
        <v>107</v>
      </c>
      <c r="B33" s="39">
        <f>B29/B32</f>
        <v>53.927757547002201</v>
      </c>
      <c r="C33" s="39">
        <f>C29/C32</f>
        <v>49.979655929707661</v>
      </c>
      <c r="D33" s="39">
        <f t="shared" ref="D33:K33" si="1">D29/D32</f>
        <v>48.708554203808177</v>
      </c>
      <c r="E33" s="39">
        <f>E29/E32</f>
        <v>52.269188050009966</v>
      </c>
      <c r="F33" s="39">
        <f t="shared" si="1"/>
        <v>51.852102641593014</v>
      </c>
      <c r="G33" s="39">
        <f t="shared" si="1"/>
        <v>51.942866942752083</v>
      </c>
      <c r="H33" s="158">
        <f t="shared" si="1"/>
        <v>57.736718544146626</v>
      </c>
      <c r="I33" s="158">
        <f t="shared" si="1"/>
        <v>58.661760548332069</v>
      </c>
      <c r="J33" s="158">
        <f>J29/J32</f>
        <v>59.406146518101984</v>
      </c>
      <c r="K33" s="158">
        <f t="shared" si="1"/>
        <v>61.19913137264907</v>
      </c>
      <c r="L33" s="158">
        <f>L29/L32</f>
        <v>60.120908388756824</v>
      </c>
      <c r="M33" s="158">
        <f>M29/M32</f>
        <v>63.224335357622543</v>
      </c>
      <c r="N33" s="158"/>
      <c r="O33" s="158"/>
    </row>
    <row r="34" spans="1:20" x14ac:dyDescent="0.3">
      <c r="A34" s="36"/>
      <c r="H34" s="95"/>
    </row>
    <row r="35" spans="1:20" x14ac:dyDescent="0.3">
      <c r="A35" s="36"/>
      <c r="B35" s="54" t="str">
        <f t="shared" ref="B35:G35" si="2">+H28</f>
        <v>Jan</v>
      </c>
      <c r="C35" s="54" t="str">
        <f t="shared" si="2"/>
        <v>Feb</v>
      </c>
      <c r="D35" s="54" t="str">
        <f t="shared" si="2"/>
        <v>Mar</v>
      </c>
      <c r="E35" s="54" t="str">
        <f t="shared" si="2"/>
        <v>Apr</v>
      </c>
      <c r="F35" s="54" t="str">
        <f t="shared" si="2"/>
        <v>May</v>
      </c>
      <c r="G35" s="54">
        <f t="shared" si="2"/>
        <v>42887</v>
      </c>
    </row>
    <row r="36" spans="1:20" s="31" customFormat="1" x14ac:dyDescent="0.3">
      <c r="A36" s="35" t="s">
        <v>108</v>
      </c>
      <c r="B36" s="34">
        <f t="shared" ref="B36:G39" si="3">H29</f>
        <v>11458603</v>
      </c>
      <c r="C36" s="34">
        <f t="shared" si="3"/>
        <v>11557499</v>
      </c>
      <c r="D36" s="34">
        <f t="shared" si="3"/>
        <v>12471533</v>
      </c>
      <c r="E36" s="34">
        <f t="shared" si="3"/>
        <v>12897063</v>
      </c>
      <c r="F36" s="34">
        <f t="shared" si="3"/>
        <v>12731033</v>
      </c>
      <c r="G36" s="34">
        <f t="shared" si="3"/>
        <v>14317462</v>
      </c>
    </row>
    <row r="37" spans="1:20" s="31" customFormat="1" x14ac:dyDescent="0.3">
      <c r="A37" s="35" t="s">
        <v>99</v>
      </c>
      <c r="B37" s="34">
        <f t="shared" si="3"/>
        <v>31</v>
      </c>
      <c r="C37" s="34">
        <f t="shared" si="3"/>
        <v>28</v>
      </c>
      <c r="D37" s="34">
        <f t="shared" si="3"/>
        <v>31</v>
      </c>
      <c r="E37" s="34">
        <f t="shared" si="3"/>
        <v>30</v>
      </c>
      <c r="F37" s="34">
        <f t="shared" si="3"/>
        <v>31</v>
      </c>
      <c r="G37" s="34">
        <f t="shared" si="3"/>
        <v>30</v>
      </c>
    </row>
    <row r="38" spans="1:20" s="31" customFormat="1" x14ac:dyDescent="0.3">
      <c r="A38" s="35" t="s">
        <v>100</v>
      </c>
      <c r="B38" s="34">
        <f t="shared" si="3"/>
        <v>6236306</v>
      </c>
      <c r="C38" s="34">
        <f t="shared" si="3"/>
        <v>5756372</v>
      </c>
      <c r="D38" s="34">
        <f t="shared" si="3"/>
        <v>6901629</v>
      </c>
      <c r="E38" s="34">
        <f t="shared" si="3"/>
        <v>6097798</v>
      </c>
      <c r="F38" s="34">
        <f t="shared" si="3"/>
        <v>6482232</v>
      </c>
      <c r="G38" s="34">
        <f t="shared" si="3"/>
        <v>8027368</v>
      </c>
    </row>
    <row r="39" spans="1:20" s="31" customFormat="1" x14ac:dyDescent="0.3">
      <c r="A39" s="35" t="s">
        <v>101</v>
      </c>
      <c r="B39" s="34">
        <f t="shared" si="3"/>
        <v>198463.01086956522</v>
      </c>
      <c r="C39" s="34">
        <f t="shared" si="3"/>
        <v>197019.3</v>
      </c>
      <c r="D39" s="34">
        <f t="shared" si="3"/>
        <v>209936.74444444446</v>
      </c>
      <c r="E39" s="34">
        <f t="shared" si="3"/>
        <v>210739.31460674157</v>
      </c>
      <c r="F39" s="34">
        <f t="shared" si="3"/>
        <v>211757.16304347827</v>
      </c>
      <c r="G39" s="34">
        <f t="shared" si="3"/>
        <v>226454.92307692306</v>
      </c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</row>
    <row r="40" spans="1:20" s="31" customFormat="1" x14ac:dyDescent="0.3">
      <c r="A40" s="35" t="s">
        <v>107</v>
      </c>
      <c r="B40" s="39">
        <f t="shared" ref="B40:G40" si="4">B36/B39</f>
        <v>57.736718544146626</v>
      </c>
      <c r="C40" s="39">
        <f t="shared" si="4"/>
        <v>58.661760548332069</v>
      </c>
      <c r="D40" s="39">
        <f t="shared" si="4"/>
        <v>59.406146518101984</v>
      </c>
      <c r="E40" s="39">
        <f t="shared" si="4"/>
        <v>61.19913137264907</v>
      </c>
      <c r="F40" s="39">
        <f t="shared" si="4"/>
        <v>60.120908388756824</v>
      </c>
      <c r="G40" s="39">
        <f t="shared" si="4"/>
        <v>63.224335357622543</v>
      </c>
      <c r="I40" s="95"/>
    </row>
    <row r="41" spans="1:20" x14ac:dyDescent="0.3">
      <c r="B41" s="13"/>
      <c r="C41" s="13"/>
      <c r="D41" s="13"/>
      <c r="E41" s="13"/>
      <c r="F41" s="13"/>
      <c r="G41" s="13"/>
      <c r="H41" s="13"/>
      <c r="I41" s="13"/>
    </row>
    <row r="42" spans="1:20" x14ac:dyDescent="0.3">
      <c r="A42" s="12" t="s">
        <v>8</v>
      </c>
      <c r="B42" s="13"/>
      <c r="D42" s="13"/>
      <c r="F42" s="13"/>
      <c r="G42" s="42" t="s">
        <v>200</v>
      </c>
      <c r="H42" s="13"/>
      <c r="I42" s="13"/>
    </row>
    <row r="43" spans="1:20" x14ac:dyDescent="0.3">
      <c r="A43" s="48"/>
      <c r="B43" s="58">
        <f t="shared" ref="B43:M43" si="5">B28</f>
        <v>42582</v>
      </c>
      <c r="C43" s="58" t="str">
        <f t="shared" si="5"/>
        <v>Aug</v>
      </c>
      <c r="D43" s="58" t="str">
        <f t="shared" si="5"/>
        <v>Sep</v>
      </c>
      <c r="E43" s="58" t="str">
        <f t="shared" si="5"/>
        <v>Oct</v>
      </c>
      <c r="F43" s="58" t="str">
        <f t="shared" si="5"/>
        <v>Nov</v>
      </c>
      <c r="G43" s="58" t="str">
        <f t="shared" si="5"/>
        <v>Dec</v>
      </c>
      <c r="H43" s="58" t="str">
        <f t="shared" si="5"/>
        <v>Jan</v>
      </c>
      <c r="I43" s="58" t="str">
        <f t="shared" si="5"/>
        <v>Feb</v>
      </c>
      <c r="J43" s="58" t="str">
        <f t="shared" si="5"/>
        <v>Mar</v>
      </c>
      <c r="K43" s="58" t="str">
        <f t="shared" si="5"/>
        <v>Apr</v>
      </c>
      <c r="L43" s="58" t="str">
        <f t="shared" si="5"/>
        <v>May</v>
      </c>
      <c r="M43" s="58">
        <f t="shared" si="5"/>
        <v>42887</v>
      </c>
    </row>
    <row r="44" spans="1:20" x14ac:dyDescent="0.3">
      <c r="A44" s="49" t="s">
        <v>328</v>
      </c>
      <c r="B44" s="50">
        <v>48</v>
      </c>
      <c r="C44" s="50">
        <f t="shared" ref="C44:M44" si="6">B44</f>
        <v>48</v>
      </c>
      <c r="D44" s="50">
        <f t="shared" si="6"/>
        <v>48</v>
      </c>
      <c r="E44" s="50">
        <f t="shared" si="6"/>
        <v>48</v>
      </c>
      <c r="F44" s="50">
        <f t="shared" si="6"/>
        <v>48</v>
      </c>
      <c r="G44" s="50">
        <f t="shared" si="6"/>
        <v>48</v>
      </c>
      <c r="H44" s="50">
        <f t="shared" si="6"/>
        <v>48</v>
      </c>
      <c r="I44" s="50">
        <f t="shared" si="6"/>
        <v>48</v>
      </c>
      <c r="J44" s="50">
        <f t="shared" si="6"/>
        <v>48</v>
      </c>
      <c r="K44" s="50">
        <f t="shared" si="6"/>
        <v>48</v>
      </c>
      <c r="L44" s="50">
        <f t="shared" si="6"/>
        <v>48</v>
      </c>
      <c r="M44" s="50">
        <f t="shared" si="6"/>
        <v>48</v>
      </c>
    </row>
    <row r="45" spans="1:20" x14ac:dyDescent="0.3">
      <c r="B45" s="13">
        <f>B33</f>
        <v>53.927757547002201</v>
      </c>
      <c r="C45" s="13">
        <f>C33</f>
        <v>49.979655929707661</v>
      </c>
      <c r="D45" s="13">
        <f t="shared" ref="D45:M45" si="7">D33</f>
        <v>48.708554203808177</v>
      </c>
      <c r="E45" s="13">
        <f t="shared" si="7"/>
        <v>52.269188050009966</v>
      </c>
      <c r="F45" s="13">
        <f t="shared" si="7"/>
        <v>51.852102641593014</v>
      </c>
      <c r="G45" s="13">
        <f t="shared" si="7"/>
        <v>51.942866942752083</v>
      </c>
      <c r="H45" s="13">
        <f t="shared" si="7"/>
        <v>57.736718544146626</v>
      </c>
      <c r="I45" s="13">
        <f t="shared" si="7"/>
        <v>58.661760548332069</v>
      </c>
      <c r="J45" s="13">
        <f t="shared" si="7"/>
        <v>59.406146518101984</v>
      </c>
      <c r="K45" s="13">
        <f t="shared" si="7"/>
        <v>61.19913137264907</v>
      </c>
      <c r="L45" s="13">
        <f t="shared" si="7"/>
        <v>60.120908388756824</v>
      </c>
      <c r="M45" s="13">
        <f t="shared" si="7"/>
        <v>63.224335357622543</v>
      </c>
    </row>
    <row r="46" spans="1:20" x14ac:dyDescent="0.3">
      <c r="B46" s="13"/>
      <c r="C46" s="13"/>
      <c r="D46" s="13"/>
      <c r="E46" s="13"/>
      <c r="F46" s="13"/>
      <c r="G46" s="13"/>
      <c r="H46" s="13"/>
    </row>
    <row r="47" spans="1:20" x14ac:dyDescent="0.3">
      <c r="B47" s="13"/>
      <c r="C47" s="13"/>
      <c r="D47" s="13"/>
      <c r="E47" s="13"/>
      <c r="F47" s="13"/>
      <c r="G47" s="13"/>
      <c r="H47" s="13"/>
    </row>
  </sheetData>
  <phoneticPr fontId="8" type="noConversion"/>
  <printOptions horizontalCentered="1" verticalCentered="1"/>
  <pageMargins left="0.25" right="0.25" top="0.5" bottom="0.5" header="0.5" footer="0.5"/>
  <pageSetup scale="9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R46"/>
  <sheetViews>
    <sheetView zoomScaleNormal="100" workbookViewId="0">
      <pane xSplit="2" ySplit="2" topLeftCell="BL12" activePane="bottomRight" state="frozen"/>
      <selection activeCell="BS33" sqref="BS33"/>
      <selection pane="topRight" activeCell="BS33" sqref="BS33"/>
      <selection pane="bottomLeft" activeCell="BS33" sqref="BS33"/>
      <selection pane="bottomRight" activeCell="BP34" sqref="BP34"/>
    </sheetView>
  </sheetViews>
  <sheetFormatPr defaultRowHeight="12.75" x14ac:dyDescent="0.2"/>
  <cols>
    <col min="1" max="1" width="11" customWidth="1"/>
    <col min="2" max="2" width="61.85546875" customWidth="1"/>
    <col min="3" max="4" width="10.7109375" hidden="1" customWidth="1"/>
    <col min="5" max="5" width="10.7109375" style="4" hidden="1" customWidth="1"/>
    <col min="6" max="17" width="10.7109375" hidden="1" customWidth="1"/>
    <col min="18" max="18" width="11.140625" hidden="1" customWidth="1"/>
    <col min="19" max="19" width="10.7109375" style="4" hidden="1" customWidth="1"/>
    <col min="20" max="26" width="10.7109375" hidden="1" customWidth="1"/>
    <col min="27" max="28" width="12.28515625" hidden="1" customWidth="1"/>
    <col min="29" max="30" width="10.5703125" hidden="1" customWidth="1"/>
    <col min="31" max="42" width="12.28515625" hidden="1" customWidth="1"/>
    <col min="43" max="55" width="13.5703125" hidden="1" customWidth="1"/>
    <col min="56" max="56" width="15.5703125" hidden="1" customWidth="1"/>
    <col min="57" max="68" width="15.5703125" customWidth="1"/>
    <col min="69" max="69" width="3.140625" customWidth="1"/>
    <col min="70" max="70" width="13.5703125" customWidth="1"/>
    <col min="72" max="74" width="12.28515625" bestFit="1" customWidth="1"/>
  </cols>
  <sheetData>
    <row r="1" spans="1:70" x14ac:dyDescent="0.2">
      <c r="BQ1" s="245"/>
    </row>
    <row r="2" spans="1:70" x14ac:dyDescent="0.2">
      <c r="A2" s="1" t="s">
        <v>110</v>
      </c>
      <c r="C2" s="96">
        <v>40914</v>
      </c>
      <c r="D2" s="96">
        <v>40946</v>
      </c>
      <c r="E2" s="96">
        <v>40978</v>
      </c>
      <c r="F2" s="96">
        <v>41010</v>
      </c>
      <c r="G2" s="96">
        <v>41042</v>
      </c>
      <c r="H2" s="96">
        <v>41074</v>
      </c>
      <c r="I2" s="96">
        <v>41106</v>
      </c>
      <c r="J2" s="96">
        <v>41138</v>
      </c>
      <c r="K2" s="96">
        <v>41169</v>
      </c>
      <c r="L2" s="96">
        <v>41199</v>
      </c>
      <c r="M2" s="96">
        <v>41231</v>
      </c>
      <c r="N2" s="96">
        <v>41262</v>
      </c>
      <c r="O2" s="96">
        <v>41294</v>
      </c>
      <c r="P2" s="96">
        <v>41326</v>
      </c>
      <c r="Q2" s="96">
        <v>41355</v>
      </c>
      <c r="R2" s="96">
        <v>41387</v>
      </c>
      <c r="S2" s="96">
        <v>41417</v>
      </c>
      <c r="T2" s="96">
        <v>41449</v>
      </c>
      <c r="U2" s="96">
        <v>41480</v>
      </c>
      <c r="V2" s="96">
        <v>41511</v>
      </c>
      <c r="W2" s="96">
        <v>41543</v>
      </c>
      <c r="X2" s="96">
        <v>41574</v>
      </c>
      <c r="Y2" s="96">
        <v>41606</v>
      </c>
      <c r="Z2" s="96">
        <v>41637</v>
      </c>
      <c r="AA2" s="96">
        <v>41670</v>
      </c>
      <c r="AB2" s="96">
        <v>41671</v>
      </c>
      <c r="AC2" s="96">
        <v>41700</v>
      </c>
      <c r="AD2" s="96">
        <v>41732</v>
      </c>
      <c r="AE2" s="96">
        <v>41760</v>
      </c>
      <c r="AF2" s="96">
        <v>41791</v>
      </c>
      <c r="AG2" s="96">
        <v>41821</v>
      </c>
      <c r="AH2" s="96">
        <v>41853</v>
      </c>
      <c r="AI2" s="96">
        <v>41885</v>
      </c>
      <c r="AJ2" s="96">
        <v>41916</v>
      </c>
      <c r="AK2" s="96">
        <v>41948</v>
      </c>
      <c r="AL2" s="96">
        <v>41979</v>
      </c>
      <c r="AM2" s="96">
        <v>42011</v>
      </c>
      <c r="AN2" s="96">
        <v>42043</v>
      </c>
      <c r="AO2" s="96">
        <v>42072</v>
      </c>
      <c r="AP2" s="96">
        <v>42104</v>
      </c>
      <c r="AQ2" s="176">
        <v>42135</v>
      </c>
      <c r="AR2" s="176">
        <v>42167</v>
      </c>
      <c r="AS2" s="176">
        <v>42198</v>
      </c>
      <c r="AT2" s="176">
        <v>42230</v>
      </c>
      <c r="AU2" s="176">
        <v>42262</v>
      </c>
      <c r="AV2" s="176">
        <v>42293</v>
      </c>
      <c r="AW2" s="176">
        <v>42325</v>
      </c>
      <c r="AX2" s="176">
        <v>42356</v>
      </c>
      <c r="AY2" s="176">
        <v>42370</v>
      </c>
      <c r="AZ2" s="176">
        <v>42401</v>
      </c>
      <c r="BA2" s="176">
        <v>42431</v>
      </c>
      <c r="BB2" s="176">
        <v>42463</v>
      </c>
      <c r="BC2" s="176">
        <v>42494</v>
      </c>
      <c r="BD2" s="176">
        <v>42525</v>
      </c>
      <c r="BE2" s="176">
        <v>42556</v>
      </c>
      <c r="BF2" s="176">
        <v>42588</v>
      </c>
      <c r="BG2" s="176">
        <v>42620</v>
      </c>
      <c r="BH2" s="176">
        <v>42674</v>
      </c>
      <c r="BI2" s="176">
        <v>42704</v>
      </c>
      <c r="BJ2" s="176">
        <v>42705</v>
      </c>
      <c r="BK2" s="176">
        <v>42736</v>
      </c>
      <c r="BL2" s="176">
        <v>42767</v>
      </c>
      <c r="BM2" s="176">
        <v>42795</v>
      </c>
      <c r="BN2" s="176">
        <v>42826</v>
      </c>
      <c r="BO2" s="176">
        <v>42856</v>
      </c>
      <c r="BP2" s="176">
        <v>42887</v>
      </c>
      <c r="BQ2" s="246"/>
      <c r="BR2" t="s">
        <v>149</v>
      </c>
    </row>
    <row r="3" spans="1:70" x14ac:dyDescent="0.2">
      <c r="B3" t="s">
        <v>111</v>
      </c>
      <c r="C3" s="31">
        <f>6982538+571618</f>
        <v>7554156</v>
      </c>
      <c r="D3" s="4">
        <f>6101133+24719</f>
        <v>6125852</v>
      </c>
      <c r="E3" s="4">
        <f>5417965+24719</f>
        <v>5442684</v>
      </c>
      <c r="F3" s="4">
        <f>5585294+29721</f>
        <v>5615015</v>
      </c>
      <c r="G3" s="4">
        <f>5120662+29727</f>
        <v>5150389</v>
      </c>
      <c r="H3" s="4">
        <f>5134803+29751</f>
        <v>5164554</v>
      </c>
      <c r="I3" s="4">
        <f>4555880+29778</f>
        <v>4585658</v>
      </c>
      <c r="J3" s="4">
        <f>5065283+29790</f>
        <v>5095073</v>
      </c>
      <c r="K3" s="4">
        <f>7893187+29805</f>
        <v>7922992</v>
      </c>
      <c r="L3" s="4">
        <f>8764885+29817</f>
        <v>8794702</v>
      </c>
      <c r="M3" s="4">
        <f>8276076+29826</f>
        <v>8305902</v>
      </c>
      <c r="N3" s="4">
        <f>8538608+29832</f>
        <v>8568440</v>
      </c>
      <c r="O3" s="4">
        <f>6998900+29841</f>
        <v>7028741</v>
      </c>
      <c r="P3" s="4">
        <f>6702434+30000</f>
        <v>6732434</v>
      </c>
      <c r="Q3" s="4">
        <f>6428528+30000</f>
        <v>6458528</v>
      </c>
      <c r="R3" s="4">
        <f>4533271+449819</f>
        <v>4983090</v>
      </c>
      <c r="S3" s="4">
        <f>3305227+450040</f>
        <v>3755267</v>
      </c>
      <c r="T3" s="4">
        <f>3202759+450163</f>
        <v>3652922</v>
      </c>
      <c r="U3" s="4">
        <f>4538086+274835</f>
        <v>4812921</v>
      </c>
      <c r="V3" s="4">
        <f>4070768+274835</f>
        <v>4345603</v>
      </c>
      <c r="W3" s="4">
        <f>4300208+323908</f>
        <v>4624116</v>
      </c>
      <c r="X3" s="4">
        <f>4372229+324315</f>
        <v>4696544</v>
      </c>
      <c r="Y3" s="4">
        <f>3938712+324863</f>
        <v>4263575</v>
      </c>
      <c r="Z3" s="4">
        <f>4289940+75035</f>
        <v>4364975</v>
      </c>
      <c r="AA3" s="4">
        <f>2935372+76453</f>
        <v>3011825</v>
      </c>
      <c r="AB3" s="4">
        <f>2751338+76453</f>
        <v>2827791</v>
      </c>
      <c r="AC3" s="4">
        <f>2715149+76453</f>
        <v>2791602</v>
      </c>
      <c r="AD3" s="4">
        <f>2246845+76453</f>
        <v>2323298</v>
      </c>
      <c r="AE3" s="4">
        <f>1665011+49985</f>
        <v>1714996</v>
      </c>
      <c r="AF3" s="4">
        <f>1982611+49985</f>
        <v>2032596</v>
      </c>
      <c r="AG3" s="4">
        <f>3615701+49985</f>
        <v>3665686</v>
      </c>
      <c r="AH3" s="4">
        <f>4708297+49985</f>
        <v>4758282</v>
      </c>
      <c r="AI3" s="4">
        <v>6186498</v>
      </c>
      <c r="AJ3" s="4">
        <v>6503010</v>
      </c>
      <c r="AK3" s="4">
        <v>6931946</v>
      </c>
      <c r="AL3" s="4">
        <v>7529959</v>
      </c>
      <c r="AM3" s="4">
        <v>7816965</v>
      </c>
      <c r="AN3" s="4">
        <v>7635856</v>
      </c>
      <c r="AO3" s="4">
        <v>7026906</v>
      </c>
      <c r="AP3" s="4">
        <v>6240521</v>
      </c>
      <c r="AQ3" s="177">
        <v>5943613</v>
      </c>
      <c r="AR3" s="177">
        <v>5948306</v>
      </c>
      <c r="AS3" s="177">
        <v>7146365</v>
      </c>
      <c r="AT3" s="177">
        <v>8644571</v>
      </c>
      <c r="AU3" s="177">
        <v>9743976</v>
      </c>
      <c r="AV3" s="177">
        <v>9436144</v>
      </c>
      <c r="AW3" s="177">
        <f>9741851+108933</f>
        <v>9850784</v>
      </c>
      <c r="AX3" s="177">
        <f>9637216+610566</f>
        <v>10247782</v>
      </c>
      <c r="AY3" s="177">
        <f>8696174+1960509</f>
        <v>10656683</v>
      </c>
      <c r="AZ3" s="177">
        <f>6074383+4711910</f>
        <v>10786293</v>
      </c>
      <c r="BA3" s="177">
        <f>7074944+4496266</f>
        <v>11571210</v>
      </c>
      <c r="BB3" s="177">
        <f>7154340+3895792</f>
        <v>11050132</v>
      </c>
      <c r="BC3" s="177">
        <f>9156011+2645570</f>
        <v>11801581</v>
      </c>
      <c r="BD3" s="177">
        <f>4560242+7203201</f>
        <v>11763443</v>
      </c>
      <c r="BE3" s="177">
        <f>6094790+6588106</f>
        <v>12682896</v>
      </c>
      <c r="BF3" s="177">
        <f>6915534+7026834</f>
        <v>13942368</v>
      </c>
      <c r="BG3" s="177">
        <f>8444130+5776261</f>
        <v>14220391</v>
      </c>
      <c r="BH3" s="177">
        <f>8089109+6724270</f>
        <v>14813379</v>
      </c>
      <c r="BI3" s="177">
        <f>10334572+5275387</f>
        <v>15609959</v>
      </c>
      <c r="BJ3" s="177">
        <f>11723993+3752041</f>
        <v>15476034</v>
      </c>
      <c r="BK3" s="177">
        <f>11835172+2612826</f>
        <v>14447998</v>
      </c>
      <c r="BL3" s="177">
        <f>9236179+4853907</f>
        <v>14090086</v>
      </c>
      <c r="BM3" s="177">
        <f>7434372+4400170</f>
        <v>11834542</v>
      </c>
      <c r="BN3" s="177">
        <f>8530930+3900607</f>
        <v>12431537</v>
      </c>
      <c r="BO3" s="177">
        <f>6516963+4846009</f>
        <v>11362972</v>
      </c>
      <c r="BP3" s="177">
        <f>8111574+4197124</f>
        <v>12308698</v>
      </c>
      <c r="BQ3" s="247"/>
      <c r="BR3" s="4" t="s">
        <v>129</v>
      </c>
    </row>
    <row r="4" spans="1:70" x14ac:dyDescent="0.2">
      <c r="B4" t="s">
        <v>229</v>
      </c>
      <c r="C4" s="31">
        <v>1765805</v>
      </c>
      <c r="D4" s="4">
        <v>2687449</v>
      </c>
      <c r="E4" s="4">
        <v>2685418</v>
      </c>
      <c r="F4" s="4">
        <v>2586674</v>
      </c>
      <c r="G4" s="4">
        <v>2668008</v>
      </c>
      <c r="H4" s="4">
        <v>2642660</v>
      </c>
      <c r="I4" s="4">
        <v>3142748</v>
      </c>
      <c r="J4" s="4">
        <v>3120843</v>
      </c>
      <c r="K4" s="4">
        <v>3120974</v>
      </c>
      <c r="L4" s="4">
        <v>3021626</v>
      </c>
      <c r="M4" s="4">
        <v>3036054</v>
      </c>
      <c r="N4" s="4">
        <v>2995183</v>
      </c>
      <c r="O4" s="4">
        <v>2995658</v>
      </c>
      <c r="P4" s="4">
        <v>2930699</v>
      </c>
      <c r="Q4" s="4">
        <v>2904955</v>
      </c>
      <c r="R4" s="4">
        <v>3084879</v>
      </c>
      <c r="S4" s="4">
        <v>3084911</v>
      </c>
      <c r="T4" s="4">
        <v>3083196</v>
      </c>
      <c r="U4" s="4">
        <v>3076251</v>
      </c>
      <c r="V4" s="4">
        <v>3027854</v>
      </c>
      <c r="W4" s="4">
        <v>3407239</v>
      </c>
      <c r="X4" s="4">
        <v>3210827</v>
      </c>
      <c r="Y4" s="4">
        <v>3212128</v>
      </c>
      <c r="Z4" s="4">
        <v>3167738</v>
      </c>
      <c r="AA4" s="4">
        <v>3604903</v>
      </c>
      <c r="AB4" s="4">
        <v>3603440</v>
      </c>
      <c r="AC4" s="4">
        <v>3605436</v>
      </c>
      <c r="AD4" s="4">
        <v>3531126</v>
      </c>
      <c r="AE4" s="4">
        <v>3480653</v>
      </c>
      <c r="AF4" s="4">
        <v>3481045</v>
      </c>
      <c r="AG4" s="4">
        <v>3478285</v>
      </c>
      <c r="AH4" s="4">
        <v>3478940</v>
      </c>
      <c r="AI4" s="4">
        <v>3386169</v>
      </c>
      <c r="AJ4" s="4">
        <v>3387472</v>
      </c>
      <c r="AK4" s="4">
        <v>3211132</v>
      </c>
      <c r="AL4" s="4">
        <v>2977950</v>
      </c>
      <c r="AM4" s="4">
        <v>2858440</v>
      </c>
      <c r="AN4" s="4">
        <v>2797037</v>
      </c>
      <c r="AO4" s="4">
        <v>3147785</v>
      </c>
      <c r="AP4" s="4">
        <v>3151607</v>
      </c>
      <c r="AQ4" s="177">
        <v>3153169</v>
      </c>
      <c r="AR4" s="177">
        <v>3146030</v>
      </c>
      <c r="AS4" s="177">
        <v>3141853</v>
      </c>
      <c r="AT4" s="177">
        <v>3079678</v>
      </c>
      <c r="AU4" s="177">
        <v>2933245</v>
      </c>
      <c r="AV4" s="177">
        <v>3201483</v>
      </c>
      <c r="AW4" s="177">
        <v>2993611</v>
      </c>
      <c r="AX4" s="177">
        <v>2985248</v>
      </c>
      <c r="AY4" s="177">
        <v>3018751</v>
      </c>
      <c r="AZ4" s="177">
        <v>5075922</v>
      </c>
      <c r="BA4" s="177">
        <v>6178767</v>
      </c>
      <c r="BB4" s="177">
        <v>6184493</v>
      </c>
      <c r="BC4" s="177">
        <v>6236553</v>
      </c>
      <c r="BD4" s="177">
        <v>6236867</v>
      </c>
      <c r="BE4" s="177">
        <v>6787591</v>
      </c>
      <c r="BF4" s="177">
        <v>6536978</v>
      </c>
      <c r="BG4" s="177">
        <v>6790914</v>
      </c>
      <c r="BH4" s="177">
        <v>6792230</v>
      </c>
      <c r="BI4" s="177">
        <v>6789022</v>
      </c>
      <c r="BJ4" s="177">
        <v>6433462</v>
      </c>
      <c r="BK4" s="177">
        <v>6359687</v>
      </c>
      <c r="BL4" s="177">
        <v>6857865</v>
      </c>
      <c r="BM4" s="177">
        <v>8601157</v>
      </c>
      <c r="BN4" s="177">
        <v>8055161</v>
      </c>
      <c r="BO4" s="177">
        <v>8609288</v>
      </c>
      <c r="BP4" s="177">
        <v>7638508</v>
      </c>
      <c r="BQ4" s="247"/>
      <c r="BR4" s="4"/>
    </row>
    <row r="5" spans="1:70" x14ac:dyDescent="0.2">
      <c r="B5" s="44" t="s">
        <v>318</v>
      </c>
      <c r="C5" s="31">
        <f>1555459+4</f>
        <v>1555463</v>
      </c>
      <c r="D5" s="4">
        <f>1716778+5</f>
        <v>1716783</v>
      </c>
      <c r="E5" s="4">
        <f>2364667+5</f>
        <v>2364672</v>
      </c>
      <c r="F5" s="4">
        <f>5+2584423</f>
        <v>2584428</v>
      </c>
      <c r="G5" s="4">
        <f>5+3125213</f>
        <v>3125218</v>
      </c>
      <c r="H5" s="4">
        <f>449519+2986790</f>
        <v>3436309</v>
      </c>
      <c r="I5" s="4">
        <f>3440817+1</f>
        <v>3440818</v>
      </c>
      <c r="J5" s="4">
        <v>3532486</v>
      </c>
      <c r="K5" s="4">
        <v>1266503</v>
      </c>
      <c r="L5" s="4">
        <v>1315642</v>
      </c>
      <c r="M5" s="4">
        <v>1352652</v>
      </c>
      <c r="N5" s="4">
        <f>1179519+211403</f>
        <v>1390922</v>
      </c>
      <c r="O5" s="4">
        <v>225299</v>
      </c>
      <c r="P5" s="4">
        <v>432529</v>
      </c>
      <c r="Q5" s="4">
        <v>1016058</v>
      </c>
      <c r="R5" s="4">
        <v>1253076</v>
      </c>
      <c r="S5" s="4">
        <v>1851898</v>
      </c>
      <c r="T5" s="4">
        <v>2106709</v>
      </c>
      <c r="U5" s="4">
        <v>2122864</v>
      </c>
      <c r="V5" s="4">
        <v>2228644</v>
      </c>
      <c r="W5" s="4">
        <v>2300516</v>
      </c>
      <c r="X5" s="4">
        <v>2340696</v>
      </c>
      <c r="Y5" s="4">
        <v>2376820</v>
      </c>
      <c r="Z5" s="4">
        <v>2423689</v>
      </c>
      <c r="AA5" s="4">
        <v>1242211</v>
      </c>
      <c r="AB5" s="4">
        <v>1343109</v>
      </c>
      <c r="AC5" s="4">
        <v>2002704</v>
      </c>
      <c r="AD5" s="4">
        <v>2230313</v>
      </c>
      <c r="AE5" s="4">
        <v>2832515</v>
      </c>
      <c r="AF5" s="4">
        <v>3068469</v>
      </c>
      <c r="AG5" s="4">
        <v>3068483</v>
      </c>
      <c r="AH5" s="4">
        <v>3156532</v>
      </c>
      <c r="AI5" s="4">
        <v>3224911</v>
      </c>
      <c r="AJ5" s="4">
        <v>3270859</v>
      </c>
      <c r="AK5" s="4">
        <v>3299034</v>
      </c>
      <c r="AL5" s="4">
        <v>3328439</v>
      </c>
      <c r="AM5" s="4">
        <v>2133600</v>
      </c>
      <c r="AN5" s="4">
        <v>2209718</v>
      </c>
      <c r="AO5" s="4">
        <v>2807668</v>
      </c>
      <c r="AP5" s="4">
        <v>3133971</v>
      </c>
      <c r="AQ5" s="177">
        <v>3693773</v>
      </c>
      <c r="AR5" s="177">
        <v>3942944</v>
      </c>
      <c r="AS5" s="177">
        <v>3942933</v>
      </c>
      <c r="AT5" s="177">
        <v>4024246</v>
      </c>
      <c r="AU5" s="177">
        <v>4071051</v>
      </c>
      <c r="AV5" s="177">
        <v>4071051</v>
      </c>
      <c r="AW5" s="177">
        <v>4133776</v>
      </c>
      <c r="AX5" s="177">
        <v>4158540</v>
      </c>
      <c r="AY5" s="177">
        <v>2952190</v>
      </c>
      <c r="AZ5" s="177">
        <v>3106899</v>
      </c>
      <c r="BA5" s="177">
        <v>1419885</v>
      </c>
      <c r="BB5" s="177">
        <v>1420106</v>
      </c>
      <c r="BC5" s="177">
        <v>1420350</v>
      </c>
      <c r="BD5" s="177">
        <v>1420579</v>
      </c>
      <c r="BE5" s="177">
        <v>1420800</v>
      </c>
      <c r="BF5" s="177">
        <v>1421052</v>
      </c>
      <c r="BG5" s="177">
        <v>1421052</v>
      </c>
      <c r="BH5" s="177">
        <v>1421517</v>
      </c>
      <c r="BI5" s="177">
        <v>1421746</v>
      </c>
      <c r="BJ5" s="177">
        <v>1427696</v>
      </c>
      <c r="BK5" s="177">
        <v>1427940</v>
      </c>
      <c r="BL5" s="177">
        <v>1422434</v>
      </c>
      <c r="BM5" s="177">
        <v>1422670</v>
      </c>
      <c r="BN5" s="177">
        <v>1422884</v>
      </c>
      <c r="BO5" s="177">
        <v>1428857</v>
      </c>
      <c r="BP5" s="177">
        <v>1429086</v>
      </c>
      <c r="BQ5" s="247"/>
      <c r="BR5" s="4" t="s">
        <v>130</v>
      </c>
    </row>
    <row r="6" spans="1:70" x14ac:dyDescent="0.2">
      <c r="B6" t="s">
        <v>113</v>
      </c>
      <c r="C6" s="144">
        <v>1135698</v>
      </c>
      <c r="D6" s="5">
        <v>1135706.97</v>
      </c>
      <c r="E6" s="5">
        <v>1135716</v>
      </c>
      <c r="F6" s="5">
        <v>1135725.95</v>
      </c>
      <c r="G6" s="5">
        <v>1135735.6000000001</v>
      </c>
      <c r="H6" s="5">
        <v>1135744.6200000001</v>
      </c>
      <c r="I6" s="5">
        <v>1135755</v>
      </c>
      <c r="J6" s="5">
        <v>1135764</v>
      </c>
      <c r="K6" s="5">
        <v>1135772.94</v>
      </c>
      <c r="L6" s="5">
        <v>1135783</v>
      </c>
      <c r="M6" s="5">
        <v>1135792.55</v>
      </c>
      <c r="N6" s="5">
        <v>1135802.2</v>
      </c>
      <c r="O6" s="5">
        <v>1135812</v>
      </c>
      <c r="P6" s="5">
        <v>1135821</v>
      </c>
      <c r="Q6" s="5">
        <v>1135829.58</v>
      </c>
      <c r="R6" s="5">
        <v>1135839.54</v>
      </c>
      <c r="S6" s="5">
        <v>1135849</v>
      </c>
      <c r="T6" s="5">
        <v>1135858</v>
      </c>
      <c r="U6" s="5">
        <f>1135868</f>
        <v>1135868</v>
      </c>
      <c r="V6" s="5">
        <v>1135877.51</v>
      </c>
      <c r="W6" s="5">
        <v>1135887</v>
      </c>
      <c r="X6" s="5">
        <v>1135897</v>
      </c>
      <c r="Y6" s="5">
        <f>1135905.83</f>
        <v>1135905.83</v>
      </c>
      <c r="Z6" s="5">
        <v>1135916</v>
      </c>
      <c r="AA6" s="5">
        <v>1135926</v>
      </c>
      <c r="AB6" s="5">
        <v>1135934</v>
      </c>
      <c r="AC6" s="5">
        <v>1135944</v>
      </c>
      <c r="AD6" s="5">
        <v>1135953</v>
      </c>
      <c r="AE6" s="5">
        <v>1135962</v>
      </c>
      <c r="AF6" s="5">
        <v>1135972</v>
      </c>
      <c r="AG6" s="5">
        <v>1135981.78</v>
      </c>
      <c r="AH6" s="5">
        <v>1135990.81</v>
      </c>
      <c r="AI6" s="5">
        <v>1136001</v>
      </c>
      <c r="AJ6" s="169">
        <v>1136010</v>
      </c>
      <c r="AK6" s="169">
        <v>1136019.1299999999</v>
      </c>
      <c r="AL6" s="169">
        <v>1136029</v>
      </c>
      <c r="AM6" s="169">
        <v>1136039</v>
      </c>
      <c r="AN6" s="169">
        <v>1136047</v>
      </c>
      <c r="AO6" s="169">
        <v>1136057.4099999999</v>
      </c>
      <c r="AP6" s="169">
        <v>1136066.75</v>
      </c>
      <c r="AQ6" s="178">
        <v>1136076</v>
      </c>
      <c r="AR6" s="178">
        <v>1136086</v>
      </c>
      <c r="AS6" s="178">
        <v>1136095</v>
      </c>
      <c r="AT6" s="178">
        <v>1136105</v>
      </c>
      <c r="AU6" s="178">
        <v>1136114</v>
      </c>
      <c r="AV6" s="178">
        <v>1136124</v>
      </c>
      <c r="AW6" s="178">
        <v>1136133</v>
      </c>
      <c r="AX6" s="178">
        <v>1136143</v>
      </c>
      <c r="AY6" s="178">
        <v>1136152</v>
      </c>
      <c r="AZ6" s="178">
        <v>0</v>
      </c>
      <c r="BA6" s="178">
        <v>0</v>
      </c>
      <c r="BB6" s="178">
        <v>0</v>
      </c>
      <c r="BC6" s="178">
        <v>0</v>
      </c>
      <c r="BD6" s="178">
        <v>0</v>
      </c>
      <c r="BE6" s="178">
        <v>0</v>
      </c>
      <c r="BF6" s="178">
        <v>0</v>
      </c>
      <c r="BG6" s="178">
        <v>0</v>
      </c>
      <c r="BH6" s="178">
        <v>0</v>
      </c>
      <c r="BI6" s="178">
        <v>0</v>
      </c>
      <c r="BJ6" s="178">
        <v>0</v>
      </c>
      <c r="BK6" s="178">
        <v>0</v>
      </c>
      <c r="BL6" s="178">
        <v>0</v>
      </c>
      <c r="BM6" s="178">
        <v>0</v>
      </c>
      <c r="BN6" s="178">
        <v>0</v>
      </c>
      <c r="BO6" s="178">
        <v>0</v>
      </c>
      <c r="BP6" s="178">
        <v>0</v>
      </c>
      <c r="BQ6" s="248"/>
    </row>
    <row r="7" spans="1:70" x14ac:dyDescent="0.2">
      <c r="B7" t="s">
        <v>114</v>
      </c>
      <c r="C7" s="4">
        <f t="shared" ref="C7:L7" si="0">SUM(C3:C6)</f>
        <v>12011122</v>
      </c>
      <c r="D7" s="4">
        <f t="shared" si="0"/>
        <v>11665790.970000001</v>
      </c>
      <c r="E7" s="4">
        <f t="shared" si="0"/>
        <v>11628490</v>
      </c>
      <c r="F7" s="4">
        <f t="shared" si="0"/>
        <v>11921842.949999999</v>
      </c>
      <c r="G7" s="4">
        <f t="shared" si="0"/>
        <v>12079350.6</v>
      </c>
      <c r="H7" s="4">
        <f t="shared" si="0"/>
        <v>12379267.620000001</v>
      </c>
      <c r="I7" s="4">
        <f t="shared" si="0"/>
        <v>12304979</v>
      </c>
      <c r="J7" s="4">
        <f t="shared" si="0"/>
        <v>12884166</v>
      </c>
      <c r="K7" s="4">
        <f t="shared" si="0"/>
        <v>13446241.939999999</v>
      </c>
      <c r="L7" s="4">
        <f t="shared" si="0"/>
        <v>14267753</v>
      </c>
      <c r="M7" s="4">
        <f t="shared" ref="M7:AQ7" si="1">SUM(M3:M6)</f>
        <v>13830400.550000001</v>
      </c>
      <c r="N7" s="4">
        <f t="shared" si="1"/>
        <v>14090347.199999999</v>
      </c>
      <c r="O7" s="4">
        <f t="shared" si="1"/>
        <v>11385510</v>
      </c>
      <c r="P7" s="4">
        <f t="shared" si="1"/>
        <v>11231483</v>
      </c>
      <c r="Q7" s="4">
        <f t="shared" si="1"/>
        <v>11515370.58</v>
      </c>
      <c r="R7" s="4">
        <f t="shared" si="1"/>
        <v>10456884.539999999</v>
      </c>
      <c r="S7" s="4">
        <f t="shared" si="1"/>
        <v>9827925</v>
      </c>
      <c r="T7" s="4">
        <f t="shared" si="1"/>
        <v>9978685</v>
      </c>
      <c r="U7" s="4">
        <f t="shared" si="1"/>
        <v>11147904</v>
      </c>
      <c r="V7" s="4">
        <f t="shared" si="1"/>
        <v>10737978.51</v>
      </c>
      <c r="W7" s="4">
        <f t="shared" si="1"/>
        <v>11467758</v>
      </c>
      <c r="X7" s="4">
        <f t="shared" si="1"/>
        <v>11383964</v>
      </c>
      <c r="Y7" s="4">
        <f t="shared" si="1"/>
        <v>10988428.83</v>
      </c>
      <c r="Z7" s="4">
        <f t="shared" si="1"/>
        <v>11092318</v>
      </c>
      <c r="AA7" s="4">
        <f t="shared" si="1"/>
        <v>8994865</v>
      </c>
      <c r="AB7" s="4">
        <f t="shared" si="1"/>
        <v>8910274</v>
      </c>
      <c r="AC7" s="4">
        <f t="shared" si="1"/>
        <v>9535686</v>
      </c>
      <c r="AD7" s="4">
        <f t="shared" si="1"/>
        <v>9220690</v>
      </c>
      <c r="AE7" s="4">
        <f t="shared" si="1"/>
        <v>9164126</v>
      </c>
      <c r="AF7" s="4">
        <f t="shared" si="1"/>
        <v>9718082</v>
      </c>
      <c r="AG7" s="4">
        <f t="shared" si="1"/>
        <v>11348435.779999999</v>
      </c>
      <c r="AH7" s="4">
        <f t="shared" si="1"/>
        <v>12529744.810000001</v>
      </c>
      <c r="AI7" s="4">
        <f t="shared" si="1"/>
        <v>13933579</v>
      </c>
      <c r="AJ7" s="170">
        <f t="shared" si="1"/>
        <v>14297351</v>
      </c>
      <c r="AK7" s="170">
        <f t="shared" si="1"/>
        <v>14578131.129999999</v>
      </c>
      <c r="AL7" s="170">
        <f t="shared" si="1"/>
        <v>14972377</v>
      </c>
      <c r="AM7" s="170">
        <f t="shared" si="1"/>
        <v>13945044</v>
      </c>
      <c r="AN7" s="170">
        <f t="shared" si="1"/>
        <v>13778658</v>
      </c>
      <c r="AO7" s="170">
        <f t="shared" si="1"/>
        <v>14118416.41</v>
      </c>
      <c r="AP7" s="170">
        <f t="shared" si="1"/>
        <v>13662165.75</v>
      </c>
      <c r="AQ7" s="179">
        <f t="shared" si="1"/>
        <v>13926631</v>
      </c>
      <c r="AR7" s="179">
        <f t="shared" ref="AR7:AS7" si="2">SUM(AR3:AR6)</f>
        <v>14173366</v>
      </c>
      <c r="AS7" s="179">
        <f t="shared" si="2"/>
        <v>15367246</v>
      </c>
      <c r="AT7" s="179">
        <f t="shared" ref="AT7:AU7" si="3">SUM(AT3:AT6)</f>
        <v>16884600</v>
      </c>
      <c r="AU7" s="179">
        <f t="shared" si="3"/>
        <v>17884386</v>
      </c>
      <c r="AV7" s="179">
        <f t="shared" ref="AV7:AW7" si="4">SUM(AV3:AV6)</f>
        <v>17844802</v>
      </c>
      <c r="AW7" s="179">
        <f t="shared" si="4"/>
        <v>18114304</v>
      </c>
      <c r="AX7" s="179">
        <f t="shared" ref="AX7:AY7" si="5">SUM(AX3:AX6)</f>
        <v>18527713</v>
      </c>
      <c r="AY7" s="179">
        <f t="shared" si="5"/>
        <v>17763776</v>
      </c>
      <c r="AZ7" s="179">
        <f t="shared" ref="AZ7:BA7" si="6">SUM(AZ3:AZ6)</f>
        <v>18969114</v>
      </c>
      <c r="BA7" s="179">
        <f t="shared" si="6"/>
        <v>19169862</v>
      </c>
      <c r="BB7" s="179">
        <f t="shared" ref="BB7:BC7" si="7">SUM(BB3:BB6)</f>
        <v>18654731</v>
      </c>
      <c r="BC7" s="179">
        <f t="shared" si="7"/>
        <v>19458484</v>
      </c>
      <c r="BD7" s="179">
        <f t="shared" ref="BD7:BE7" si="8">SUM(BD3:BD6)</f>
        <v>19420889</v>
      </c>
      <c r="BE7" s="179">
        <f t="shared" si="8"/>
        <v>20891287</v>
      </c>
      <c r="BF7" s="179">
        <f t="shared" ref="BF7:BK7" si="9">SUM(BF3:BF6)</f>
        <v>21900398</v>
      </c>
      <c r="BG7" s="179">
        <f t="shared" si="9"/>
        <v>22432357</v>
      </c>
      <c r="BH7" s="179">
        <f t="shared" si="9"/>
        <v>23027126</v>
      </c>
      <c r="BI7" s="179">
        <f t="shared" si="9"/>
        <v>23820727</v>
      </c>
      <c r="BJ7" s="179">
        <f t="shared" si="9"/>
        <v>23337192</v>
      </c>
      <c r="BK7" s="179">
        <f t="shared" si="9"/>
        <v>22235625</v>
      </c>
      <c r="BL7" s="179">
        <f t="shared" ref="BL7:BM7" si="10">SUM(BL3:BL6)</f>
        <v>22370385</v>
      </c>
      <c r="BM7" s="179">
        <f t="shared" si="10"/>
        <v>21858369</v>
      </c>
      <c r="BN7" s="179">
        <f t="shared" ref="BN7:BO7" si="11">SUM(BN3:BN6)</f>
        <v>21909582</v>
      </c>
      <c r="BO7" s="179">
        <f t="shared" si="11"/>
        <v>21401117</v>
      </c>
      <c r="BP7" s="179">
        <f t="shared" ref="BP7" si="12">SUM(BP3:BP6)</f>
        <v>21376292</v>
      </c>
      <c r="BQ7" s="248"/>
    </row>
    <row r="8" spans="1:70" x14ac:dyDescent="0.2">
      <c r="D8" s="4"/>
      <c r="E8"/>
      <c r="I8" s="4"/>
      <c r="J8" s="4"/>
      <c r="K8" s="4"/>
      <c r="L8" s="4"/>
      <c r="M8" s="4"/>
      <c r="S8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247"/>
    </row>
    <row r="9" spans="1:70" x14ac:dyDescent="0.2">
      <c r="B9" t="s">
        <v>115</v>
      </c>
      <c r="D9" s="4"/>
      <c r="E9"/>
      <c r="I9" s="4"/>
      <c r="J9" s="4"/>
      <c r="K9" s="4"/>
      <c r="L9" s="4"/>
      <c r="M9" s="4"/>
      <c r="S9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247"/>
    </row>
    <row r="10" spans="1:70" x14ac:dyDescent="0.2">
      <c r="B10" t="s">
        <v>116</v>
      </c>
      <c r="C10" s="4">
        <v>2810625</v>
      </c>
      <c r="D10" s="4">
        <v>5663561</v>
      </c>
      <c r="E10" s="4">
        <v>8702187</v>
      </c>
      <c r="F10" s="4">
        <v>11604315</v>
      </c>
      <c r="G10" s="4">
        <v>14645206</v>
      </c>
      <c r="H10" s="4">
        <v>17728717</v>
      </c>
      <c r="I10" s="4">
        <v>20821145</v>
      </c>
      <c r="J10" s="4">
        <v>23799750</v>
      </c>
      <c r="K10" s="4">
        <v>26816713</v>
      </c>
      <c r="L10" s="4">
        <v>29798471</v>
      </c>
      <c r="M10" s="4">
        <v>32661595</v>
      </c>
      <c r="N10" s="4">
        <v>35944512</v>
      </c>
      <c r="O10" s="4">
        <v>3115634</v>
      </c>
      <c r="P10" s="4">
        <v>6054915</v>
      </c>
      <c r="Q10" s="4">
        <v>9297969</v>
      </c>
      <c r="R10" s="4">
        <v>12316638</v>
      </c>
      <c r="S10" s="4">
        <v>15467270</v>
      </c>
      <c r="T10" s="4">
        <v>18666514</v>
      </c>
      <c r="U10" s="4">
        <v>21347925</v>
      </c>
      <c r="V10" s="4">
        <v>24517731</v>
      </c>
      <c r="W10" s="4">
        <f>27660053-10800</f>
        <v>27649253</v>
      </c>
      <c r="X10" s="4">
        <v>30898603</v>
      </c>
      <c r="Y10" s="4">
        <v>33982295</v>
      </c>
      <c r="Z10" s="4">
        <v>37586259</v>
      </c>
      <c r="AA10" s="4">
        <v>3049331</v>
      </c>
      <c r="AB10" s="4">
        <v>5980110</v>
      </c>
      <c r="AC10" s="4">
        <v>9214676</v>
      </c>
      <c r="AD10" s="4">
        <v>12444701</v>
      </c>
      <c r="AE10" s="4">
        <v>15707188</v>
      </c>
      <c r="AF10" s="4">
        <v>18938850</v>
      </c>
      <c r="AG10" s="4">
        <v>22497395</v>
      </c>
      <c r="AH10" s="4">
        <v>25856683</v>
      </c>
      <c r="AI10" s="4">
        <v>29185434</v>
      </c>
      <c r="AJ10" s="4">
        <v>32588215</v>
      </c>
      <c r="AK10" s="4">
        <v>35745226</v>
      </c>
      <c r="AL10" s="4">
        <v>39180850</v>
      </c>
      <c r="AM10" s="4">
        <v>3195860</v>
      </c>
      <c r="AN10" s="4">
        <v>6412521</v>
      </c>
      <c r="AO10" s="4">
        <v>9968532</v>
      </c>
      <c r="AP10" s="4">
        <f>13501982</f>
        <v>13501982</v>
      </c>
      <c r="AQ10" s="177">
        <v>16915188</v>
      </c>
      <c r="AR10" s="177">
        <v>20372688</v>
      </c>
      <c r="AS10" s="177">
        <v>23831630</v>
      </c>
      <c r="AT10" s="177">
        <v>26724061</v>
      </c>
      <c r="AU10" s="177">
        <v>30335365</v>
      </c>
      <c r="AV10" s="177">
        <v>33686555</v>
      </c>
      <c r="AW10" s="177">
        <v>37016026</v>
      </c>
      <c r="AX10" s="177">
        <v>40216656</v>
      </c>
      <c r="AY10" s="177">
        <v>3171285</v>
      </c>
      <c r="AZ10" s="177">
        <v>6387833</v>
      </c>
      <c r="BA10" s="177">
        <v>9830538</v>
      </c>
      <c r="BB10" s="177">
        <v>13096724</v>
      </c>
      <c r="BC10" s="177">
        <v>16538708</v>
      </c>
      <c r="BD10" s="177">
        <v>19953918</v>
      </c>
      <c r="BE10" s="177">
        <v>23392149</v>
      </c>
      <c r="BF10" s="177">
        <v>27079389</v>
      </c>
      <c r="BG10" s="177">
        <v>30457107</v>
      </c>
      <c r="BH10" s="177">
        <v>33888645</v>
      </c>
      <c r="BI10" s="177">
        <v>37459235</v>
      </c>
      <c r="BJ10" s="177">
        <v>40883064</v>
      </c>
      <c r="BK10" s="177">
        <v>3492413</v>
      </c>
      <c r="BL10" s="177">
        <v>6921768</v>
      </c>
      <c r="BM10" s="177">
        <v>10660858</v>
      </c>
      <c r="BN10" s="177">
        <v>14285928</v>
      </c>
      <c r="BO10" s="177">
        <v>17877078</v>
      </c>
      <c r="BP10" s="177">
        <v>21629950</v>
      </c>
      <c r="BQ10" s="247"/>
      <c r="BR10" t="s">
        <v>227</v>
      </c>
    </row>
    <row r="11" spans="1:70" x14ac:dyDescent="0.2">
      <c r="B11" t="s">
        <v>117</v>
      </c>
      <c r="D11" s="4"/>
      <c r="E11"/>
      <c r="I11" s="4"/>
      <c r="J11" s="4"/>
      <c r="K11" s="4"/>
      <c r="L11" s="4"/>
      <c r="M11" s="4"/>
      <c r="S11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177"/>
      <c r="AR11" s="177"/>
      <c r="AS11" s="177"/>
      <c r="AT11" s="177">
        <v>565480</v>
      </c>
      <c r="AU11" s="177">
        <v>634156</v>
      </c>
      <c r="AV11" s="177">
        <v>705047</v>
      </c>
      <c r="AW11" s="177">
        <v>775072</v>
      </c>
      <c r="AX11" s="177">
        <v>844822</v>
      </c>
      <c r="AY11" s="177">
        <v>68596</v>
      </c>
      <c r="AZ11" s="177">
        <v>256987</v>
      </c>
      <c r="BA11" s="177">
        <v>345609</v>
      </c>
      <c r="BB11" s="177">
        <v>383492</v>
      </c>
      <c r="BC11" s="177">
        <v>422558</v>
      </c>
      <c r="BD11" s="177">
        <v>461506</v>
      </c>
      <c r="BE11" s="177">
        <v>500410</v>
      </c>
      <c r="BF11" s="177">
        <v>539330</v>
      </c>
      <c r="BG11" s="177">
        <v>576903</v>
      </c>
      <c r="BH11" s="177">
        <v>615649</v>
      </c>
      <c r="BI11" s="177">
        <v>653082</v>
      </c>
      <c r="BJ11" s="177">
        <v>691627</v>
      </c>
      <c r="BK11" s="177">
        <v>36475</v>
      </c>
      <c r="BL11" s="177">
        <v>70329</v>
      </c>
      <c r="BM11" s="177">
        <v>107104</v>
      </c>
      <c r="BN11" s="177">
        <v>142706</v>
      </c>
      <c r="BO11" s="177">
        <v>179318</v>
      </c>
      <c r="BP11" s="177">
        <v>215216</v>
      </c>
      <c r="BQ11" s="247"/>
      <c r="BR11" t="s">
        <v>150</v>
      </c>
    </row>
    <row r="12" spans="1:70" x14ac:dyDescent="0.2">
      <c r="B12" t="s">
        <v>118</v>
      </c>
      <c r="C12" s="4">
        <v>153717</v>
      </c>
      <c r="D12" s="4">
        <v>310007</v>
      </c>
      <c r="E12" s="4">
        <v>464964</v>
      </c>
      <c r="F12" s="4">
        <v>620372</v>
      </c>
      <c r="G12" s="4">
        <v>777141</v>
      </c>
      <c r="H12" s="4">
        <v>937273</v>
      </c>
      <c r="I12" s="4">
        <v>1097538</v>
      </c>
      <c r="J12" s="4">
        <v>1259288</v>
      </c>
      <c r="K12" s="4">
        <v>1421925</v>
      </c>
      <c r="L12" s="4">
        <v>1584840</v>
      </c>
      <c r="M12" s="4">
        <v>1744491</v>
      </c>
      <c r="N12" s="4">
        <v>1904892</v>
      </c>
      <c r="O12" s="4">
        <v>162881</v>
      </c>
      <c r="P12" s="4">
        <v>330368</v>
      </c>
      <c r="Q12" s="4">
        <v>496273</v>
      </c>
      <c r="R12" s="4">
        <v>658698</v>
      </c>
      <c r="S12" s="4">
        <v>838391</v>
      </c>
      <c r="T12" s="4">
        <v>1018988</v>
      </c>
      <c r="U12" s="4">
        <v>1203641</v>
      </c>
      <c r="V12" s="4">
        <v>1388543</v>
      </c>
      <c r="W12" s="4">
        <v>1575176</v>
      </c>
      <c r="X12" s="4">
        <v>1797145</v>
      </c>
      <c r="Y12" s="4">
        <v>2024071</v>
      </c>
      <c r="Z12" s="4">
        <v>2394366</v>
      </c>
      <c r="AA12" s="4">
        <v>220604</v>
      </c>
      <c r="AB12" s="4">
        <v>441004</v>
      </c>
      <c r="AC12" s="4">
        <v>661763</v>
      </c>
      <c r="AD12" s="4">
        <v>896641</v>
      </c>
      <c r="AE12" s="4">
        <v>1126251</v>
      </c>
      <c r="AF12" s="4">
        <v>1355940</v>
      </c>
      <c r="AG12" s="4">
        <v>1585815</v>
      </c>
      <c r="AH12" s="4">
        <v>1815467</v>
      </c>
      <c r="AI12" s="4">
        <v>2044625</v>
      </c>
      <c r="AJ12" s="4">
        <v>2273747</v>
      </c>
      <c r="AK12" s="4">
        <v>2503048</v>
      </c>
      <c r="AL12" s="4">
        <v>2731869</v>
      </c>
      <c r="AM12" s="4">
        <v>225654</v>
      </c>
      <c r="AN12" s="4">
        <v>450374</v>
      </c>
      <c r="AO12" s="4">
        <v>670445</v>
      </c>
      <c r="AP12" s="4">
        <v>890795</v>
      </c>
      <c r="AQ12" s="177">
        <v>1108160</v>
      </c>
      <c r="AR12" s="177">
        <v>1325595</v>
      </c>
      <c r="AS12" s="177">
        <v>1544820</v>
      </c>
      <c r="AT12" s="177">
        <v>1763722</v>
      </c>
      <c r="AU12" s="177">
        <v>1983818</v>
      </c>
      <c r="AV12" s="177">
        <v>2204682</v>
      </c>
      <c r="AW12" s="177">
        <v>2425600</v>
      </c>
      <c r="AX12" s="177">
        <v>2647514</v>
      </c>
      <c r="AY12" s="177">
        <v>220311</v>
      </c>
      <c r="AZ12" s="177">
        <v>435898</v>
      </c>
      <c r="BA12" s="177">
        <v>654056</v>
      </c>
      <c r="BB12" s="177">
        <v>853092</v>
      </c>
      <c r="BC12" s="177">
        <v>1053454</v>
      </c>
      <c r="BD12" s="177">
        <v>1257131</v>
      </c>
      <c r="BE12" s="177">
        <v>1462502</v>
      </c>
      <c r="BF12" s="177">
        <v>1667219</v>
      </c>
      <c r="BG12" s="177">
        <v>1871700</v>
      </c>
      <c r="BH12" s="177">
        <v>2075373</v>
      </c>
      <c r="BI12" s="177">
        <v>2273356</v>
      </c>
      <c r="BJ12" s="177">
        <v>2478680</v>
      </c>
      <c r="BK12" s="177">
        <v>201473</v>
      </c>
      <c r="BL12" s="177">
        <v>401972</v>
      </c>
      <c r="BM12" s="177">
        <v>590869</v>
      </c>
      <c r="BN12" s="177">
        <v>778418</v>
      </c>
      <c r="BO12" s="177">
        <v>973877</v>
      </c>
      <c r="BP12" s="177">
        <v>1168325</v>
      </c>
      <c r="BQ12" s="247"/>
      <c r="BR12" t="s">
        <v>151</v>
      </c>
    </row>
    <row r="13" spans="1:70" x14ac:dyDescent="0.2">
      <c r="B13" t="s">
        <v>119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3"/>
      <c r="AK13" s="3"/>
      <c r="AL13" s="3"/>
      <c r="AM13" s="3"/>
      <c r="AN13" s="3"/>
      <c r="AO13" s="3"/>
      <c r="AP13" s="3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249"/>
    </row>
    <row r="14" spans="1:70" x14ac:dyDescent="0.2">
      <c r="B14" t="s">
        <v>120</v>
      </c>
      <c r="C14" s="4">
        <f t="shared" ref="C14:AQ14" si="13">C10+C11-C12</f>
        <v>2656908</v>
      </c>
      <c r="D14" s="4">
        <f t="shared" si="13"/>
        <v>5353554</v>
      </c>
      <c r="E14" s="4">
        <f t="shared" si="13"/>
        <v>8237223</v>
      </c>
      <c r="F14" s="4">
        <f t="shared" si="13"/>
        <v>10983943</v>
      </c>
      <c r="G14" s="4">
        <f t="shared" si="13"/>
        <v>13868065</v>
      </c>
      <c r="H14" s="4">
        <f t="shared" si="13"/>
        <v>16791444</v>
      </c>
      <c r="I14" s="4">
        <f t="shared" si="13"/>
        <v>19723607</v>
      </c>
      <c r="J14" s="4">
        <f t="shared" si="13"/>
        <v>22540462</v>
      </c>
      <c r="K14" s="4">
        <f t="shared" si="13"/>
        <v>25394788</v>
      </c>
      <c r="L14" s="4">
        <f t="shared" si="13"/>
        <v>28213631</v>
      </c>
      <c r="M14" s="4">
        <f t="shared" si="13"/>
        <v>30917104</v>
      </c>
      <c r="N14" s="4">
        <f t="shared" si="13"/>
        <v>34039620</v>
      </c>
      <c r="O14" s="4">
        <f t="shared" si="13"/>
        <v>2952753</v>
      </c>
      <c r="P14" s="4">
        <f t="shared" si="13"/>
        <v>5724547</v>
      </c>
      <c r="Q14" s="4">
        <f t="shared" si="13"/>
        <v>8801696</v>
      </c>
      <c r="R14" s="4">
        <f t="shared" si="13"/>
        <v>11657940</v>
      </c>
      <c r="S14" s="4">
        <f t="shared" si="13"/>
        <v>14628879</v>
      </c>
      <c r="T14" s="4">
        <f t="shared" si="13"/>
        <v>17647526</v>
      </c>
      <c r="U14" s="4">
        <f t="shared" si="13"/>
        <v>20144284</v>
      </c>
      <c r="V14" s="4">
        <f t="shared" si="13"/>
        <v>23129188</v>
      </c>
      <c r="W14" s="4">
        <f t="shared" si="13"/>
        <v>26074077</v>
      </c>
      <c r="X14" s="4">
        <f t="shared" si="13"/>
        <v>29101458</v>
      </c>
      <c r="Y14" s="4">
        <f t="shared" si="13"/>
        <v>31958224</v>
      </c>
      <c r="Z14" s="4">
        <f t="shared" si="13"/>
        <v>35191893</v>
      </c>
      <c r="AA14" s="4">
        <f t="shared" si="13"/>
        <v>2828727</v>
      </c>
      <c r="AB14" s="4">
        <f t="shared" si="13"/>
        <v>5539106</v>
      </c>
      <c r="AC14" s="4">
        <f t="shared" si="13"/>
        <v>8552913</v>
      </c>
      <c r="AD14" s="4">
        <f t="shared" si="13"/>
        <v>11548060</v>
      </c>
      <c r="AE14" s="4">
        <f t="shared" si="13"/>
        <v>14580937</v>
      </c>
      <c r="AF14" s="4">
        <f t="shared" si="13"/>
        <v>17582910</v>
      </c>
      <c r="AG14" s="4">
        <f t="shared" si="13"/>
        <v>20911580</v>
      </c>
      <c r="AH14" s="4">
        <f t="shared" si="13"/>
        <v>24041216</v>
      </c>
      <c r="AI14" s="4">
        <f t="shared" si="13"/>
        <v>27140809</v>
      </c>
      <c r="AJ14" s="170">
        <f t="shared" si="13"/>
        <v>30314468</v>
      </c>
      <c r="AK14" s="170">
        <f t="shared" si="13"/>
        <v>33242178</v>
      </c>
      <c r="AL14" s="170">
        <f t="shared" si="13"/>
        <v>36448981</v>
      </c>
      <c r="AM14" s="170">
        <f t="shared" si="13"/>
        <v>2970206</v>
      </c>
      <c r="AN14" s="170">
        <f t="shared" si="13"/>
        <v>5962147</v>
      </c>
      <c r="AO14" s="170">
        <f t="shared" si="13"/>
        <v>9298087</v>
      </c>
      <c r="AP14" s="170">
        <f t="shared" si="13"/>
        <v>12611187</v>
      </c>
      <c r="AQ14" s="179">
        <f t="shared" si="13"/>
        <v>15807028</v>
      </c>
      <c r="AR14" s="179">
        <f t="shared" ref="AR14:AS14" si="14">AR10+AR11-AR12</f>
        <v>19047093</v>
      </c>
      <c r="AS14" s="179">
        <f t="shared" si="14"/>
        <v>22286810</v>
      </c>
      <c r="AT14" s="179">
        <f t="shared" ref="AT14:AY14" si="15">AT10+AT11-AT12</f>
        <v>25525819</v>
      </c>
      <c r="AU14" s="179">
        <f t="shared" si="15"/>
        <v>28985703</v>
      </c>
      <c r="AV14" s="179">
        <f t="shared" si="15"/>
        <v>32186920</v>
      </c>
      <c r="AW14" s="179">
        <f t="shared" si="15"/>
        <v>35365498</v>
      </c>
      <c r="AX14" s="179">
        <f t="shared" si="15"/>
        <v>38413964</v>
      </c>
      <c r="AY14" s="179">
        <f t="shared" si="15"/>
        <v>3019570</v>
      </c>
      <c r="AZ14" s="179">
        <f t="shared" ref="AZ14:BA14" si="16">AZ10+AZ11-AZ12</f>
        <v>6208922</v>
      </c>
      <c r="BA14" s="179">
        <f t="shared" si="16"/>
        <v>9522091</v>
      </c>
      <c r="BB14" s="179">
        <f t="shared" ref="BB14" si="17">BB10+BB11-BB12</f>
        <v>12627124</v>
      </c>
      <c r="BC14" s="179">
        <f t="shared" ref="BC14:BH14" si="18">BC10+BC11-BC12</f>
        <v>15907812</v>
      </c>
      <c r="BD14" s="179">
        <f t="shared" si="18"/>
        <v>19158293</v>
      </c>
      <c r="BE14" s="179">
        <f t="shared" si="18"/>
        <v>22430057</v>
      </c>
      <c r="BF14" s="179">
        <f t="shared" si="18"/>
        <v>25951500</v>
      </c>
      <c r="BG14" s="179">
        <f t="shared" si="18"/>
        <v>29162310</v>
      </c>
      <c r="BH14" s="179">
        <f t="shared" si="18"/>
        <v>32428921</v>
      </c>
      <c r="BI14" s="179">
        <f t="shared" ref="BI14:BN14" si="19">BI10+BI11-BI12</f>
        <v>35838961</v>
      </c>
      <c r="BJ14" s="179">
        <f t="shared" si="19"/>
        <v>39096011</v>
      </c>
      <c r="BK14" s="179">
        <f t="shared" si="19"/>
        <v>3327415</v>
      </c>
      <c r="BL14" s="179">
        <f t="shared" si="19"/>
        <v>6590125</v>
      </c>
      <c r="BM14" s="179">
        <f t="shared" si="19"/>
        <v>10177093</v>
      </c>
      <c r="BN14" s="179">
        <f t="shared" si="19"/>
        <v>13650216</v>
      </c>
      <c r="BO14" s="179">
        <f t="shared" ref="BO14:BP14" si="20">BO10+BO11-BO12</f>
        <v>17082519</v>
      </c>
      <c r="BP14" s="179">
        <f t="shared" si="20"/>
        <v>20676841</v>
      </c>
      <c r="BQ14" s="248"/>
    </row>
    <row r="15" spans="1:70" ht="13.5" thickBot="1" x14ac:dyDescent="0.25">
      <c r="C15" s="46"/>
      <c r="D15" s="153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249"/>
    </row>
    <row r="16" spans="1:70" x14ac:dyDescent="0.2">
      <c r="B16" t="s">
        <v>121</v>
      </c>
      <c r="C16" s="47">
        <f>(C7/C14)*(31)</f>
        <v>140.14214342385961</v>
      </c>
      <c r="D16" s="47">
        <f>(D7/D14)*(31+29)</f>
        <v>130.74444718405755</v>
      </c>
      <c r="E16" s="47">
        <f>(E7/E14)*(31+29+31)</f>
        <v>128.46472530851719</v>
      </c>
      <c r="F16" s="47">
        <f>(F7/F14)*(31+29+31+30)</f>
        <v>131.33198132492129</v>
      </c>
      <c r="G16" s="47">
        <f>(G7/G14)*(31+29+31+30+31)</f>
        <v>132.39491531082382</v>
      </c>
      <c r="H16" s="47">
        <f>(H7/H14)*(31+29+31+30+31+30)</f>
        <v>134.1770670134147</v>
      </c>
      <c r="I16" s="47">
        <f>(I7/I14)*(31+29+31+30+31+30+31)</f>
        <v>132.88444284050072</v>
      </c>
      <c r="J16" s="47">
        <f>(J7/J14)*(31+29+31+30+31+30+31+31)</f>
        <v>139.47081049181688</v>
      </c>
      <c r="K16" s="47">
        <f>(K7/K14)*(31+29+31+30+31+30+31+31+30)</f>
        <v>145.07978139293778</v>
      </c>
      <c r="L16" s="47">
        <f>(L7/L14)*(31+29+31+30+31+30+31+31+30+31)</f>
        <v>154.23979511889129</v>
      </c>
      <c r="M16" s="47">
        <f>(M7/M14)*(31+29+31+30+31+30+31+31+30+31+30)</f>
        <v>149.85828505315376</v>
      </c>
      <c r="N16" s="47">
        <f>(N7/N14)*(31+29+31+30+31+30+31+31+30+31+30+31)</f>
        <v>151.50189911638259</v>
      </c>
      <c r="O16" s="47">
        <f>(O7/O14)*(31)</f>
        <v>119.53279194026727</v>
      </c>
      <c r="P16" s="47">
        <f>(P7/P14)*(31+28)</f>
        <v>115.75719388800546</v>
      </c>
      <c r="Q16" s="47">
        <f>(Q7/Q14)*(31+28+31)</f>
        <v>117.74814219895802</v>
      </c>
      <c r="R16" s="47">
        <f>(R7/R14)*(31+28+31+30)</f>
        <v>107.6370392024663</v>
      </c>
      <c r="S16" s="47">
        <f>(S7/S14)*(31+28+31+30+31)</f>
        <v>101.44431948613425</v>
      </c>
      <c r="T16" s="47">
        <f>(T7/T14)*(31+28+31+30+31+30)</f>
        <v>102.34533639446119</v>
      </c>
      <c r="U16" s="47">
        <f>(U7/U14)*(31+28+31+30+31+30+31)</f>
        <v>117.32140233924422</v>
      </c>
      <c r="V16" s="47">
        <f>(V7/V14)*(31+28+31+30+31+30+31+31)</f>
        <v>112.81540787034979</v>
      </c>
      <c r="W16" s="47">
        <f>(W7/W14)*(31+28+31+30+31+30+31+31+30)</f>
        <v>120.06936751778404</v>
      </c>
      <c r="X16" s="47">
        <f>(X7/X14)*(31+28+31+30+31+30+31+31+30+31)</f>
        <v>118.91930143156402</v>
      </c>
      <c r="Y16" s="47">
        <f>(Y7/Y14)*(31+28+31+30+31+30+31+31+30+31+30)</f>
        <v>114.84165168940551</v>
      </c>
      <c r="Z16" s="47">
        <f>(Z7/Z14)*(31+28+31+30+31+30+31+31+30+31+30+31)</f>
        <v>115.04627131027024</v>
      </c>
      <c r="AA16" s="47">
        <f>(AA7/AA14)*(31)</f>
        <v>98.574664504563373</v>
      </c>
      <c r="AB16" s="47">
        <f>(AB7/AB14)*(31+28)</f>
        <v>94.908125246203994</v>
      </c>
      <c r="AC16" s="47">
        <f>(AC7/AC14)*(31+28+31)</f>
        <v>100.3414555953042</v>
      </c>
      <c r="AD16" s="47">
        <f>(AD7/AD14)*(31+28+31+30)</f>
        <v>95.81547030410303</v>
      </c>
      <c r="AE16" s="47">
        <f>(AE7/AE14)*(31+28+31+30+31)</f>
        <v>94.903573480908662</v>
      </c>
      <c r="AF16" s="47">
        <f>(AF7/AF14)*(31+28+31+30+31+30)</f>
        <v>100.03877867770464</v>
      </c>
      <c r="AG16" s="47">
        <f>(AG7/AG14)*(31+28+31+30+31+30+31)</f>
        <v>115.04957470262887</v>
      </c>
      <c r="AH16" s="47">
        <f>(AH7/AH14)*(31+28+31+30+31+30+31+31)</f>
        <v>126.64617250766351</v>
      </c>
      <c r="AI16" s="47">
        <f>(AI7/AI14)*(31+28+31+30+31+30+31+31+30)</f>
        <v>140.1530465433068</v>
      </c>
      <c r="AJ16" s="47">
        <f>(AJ7/AJ14)*(31+28+31+30+31+30+31+31+30+31)</f>
        <v>143.37690847815637</v>
      </c>
      <c r="AK16" s="47">
        <f>(AK7/AK14)*(31+28+31+30+31+30+31+31+30+31+30)</f>
        <v>146.47342894981188</v>
      </c>
      <c r="AL16" s="47">
        <f>(AL7/AL14)*(31+28+31+30+31+30+31+31+30+31+30+31)</f>
        <v>149.93334395274314</v>
      </c>
      <c r="AM16" s="47">
        <f>(AM7/AM14)*(31)</f>
        <v>145.54423632569592</v>
      </c>
      <c r="AN16" s="47">
        <f>(AN7/AN14)*(31+28)</f>
        <v>136.3503486244133</v>
      </c>
      <c r="AO16" s="47">
        <f>(AO7/AO14)*(31+28+31)</f>
        <v>136.65794661848184</v>
      </c>
      <c r="AP16" s="47">
        <f>(AP7/AP14)*(31+28+31+30)</f>
        <v>130.00044246429778</v>
      </c>
      <c r="AQ16" s="182">
        <f>(AQ7/AQ14)*(31+28+31+30+31)</f>
        <v>133.03710735503219</v>
      </c>
      <c r="AR16" s="182">
        <f>(AR7/AR14)*(31+28+31+30+31+30)</f>
        <v>134.68613010919827</v>
      </c>
      <c r="AS16" s="182">
        <f>(AS7/AS14)*(31+28+31+30+31+30+31)</f>
        <v>146.17866585662102</v>
      </c>
      <c r="AT16" s="182">
        <f>(AT7/AT14)*(31+28+31+30+31+30+31+31)</f>
        <v>160.73755752949592</v>
      </c>
      <c r="AU16" s="182">
        <f>(AU7/AU14)*(31+28+31+30+31+30+31+31+30)</f>
        <v>168.44295196152393</v>
      </c>
      <c r="AV16" s="182">
        <f>(AV7/AV14)*(31+28+31+30+31+30+31+31+30+31)</f>
        <v>168.54112813527979</v>
      </c>
      <c r="AW16" s="182">
        <f>(AW7/AW14)*(31+28+31+30+31+30+31+31+30+31+30)</f>
        <v>171.07570593237512</v>
      </c>
      <c r="AX16" s="182">
        <f>(AX7/AX14)*(31+28+31+30+31+30+31+31+30+31+30+31)</f>
        <v>176.04575370039916</v>
      </c>
      <c r="AY16" s="182">
        <f>(AY7/AY14)*(31)</f>
        <v>182.36936252512777</v>
      </c>
      <c r="AZ16" s="182">
        <f>(AZ7/AZ14)*(31+29)</f>
        <v>183.30828443327198</v>
      </c>
      <c r="BA16" s="182">
        <f>(BA7/BA14)*(31+29+31)</f>
        <v>183.20108913052817</v>
      </c>
      <c r="BB16" s="182">
        <f>(BB7/BB14)*(31+29+31+30)</f>
        <v>178.75982298106837</v>
      </c>
      <c r="BC16" s="182">
        <f>(BC7/BC14)*(31+29+31+30+31)</f>
        <v>185.92686209769138</v>
      </c>
      <c r="BD16" s="182">
        <f>(BD7/BD14)*(31+29+31+30+31+30)</f>
        <v>184.494610140893</v>
      </c>
      <c r="BE16" s="182">
        <f>(BE7/BE14)*(31+29+31+30+31+30+31)</f>
        <v>198.38755340657406</v>
      </c>
      <c r="BF16" s="182">
        <f>(BF7/BF14)*(31+29+31+30+31+30+31+31)</f>
        <v>205.91091505307978</v>
      </c>
      <c r="BG16" s="182">
        <f>(BG7/BG14)*(31+29+31+30+31+30+31+31+30)</f>
        <v>210.76745353848855</v>
      </c>
      <c r="BH16" s="182">
        <f>(BH7/BH14)*(31+29+31+30+31+30+31+31+30+31)</f>
        <v>216.57437908587829</v>
      </c>
      <c r="BI16" s="182">
        <f>(BI7/BI14)*(31+29+31+30+31+30+31+31+30+31+30)</f>
        <v>222.66112974089845</v>
      </c>
      <c r="BJ16" s="182">
        <f>(BJ7/BJ14)*(31+29+31+30+31+30+31+31+30+31+30+31)</f>
        <v>218.47273042766435</v>
      </c>
      <c r="BK16" s="182">
        <f>(BK7/BK14)*(31)</f>
        <v>207.15912352381653</v>
      </c>
      <c r="BL16" s="182">
        <f>(BL7/BL14)*(31+28)</f>
        <v>200.27734147683088</v>
      </c>
      <c r="BM16" s="182">
        <f>(BM7/BM14)*(31+28+31)</f>
        <v>193.30207653600098</v>
      </c>
      <c r="BN16" s="182">
        <f>(BN7/BN14)*(31+28+31+30)</f>
        <v>192.60866201677689</v>
      </c>
      <c r="BO16" s="182">
        <f>(BO7/BO14)*(31+28+31+30+31)</f>
        <v>189.17401274367089</v>
      </c>
      <c r="BP16" s="182">
        <f>(BP7/BP14)*(31+28+31+30+31+30)</f>
        <v>187.12282267876412</v>
      </c>
      <c r="BQ16" s="250"/>
      <c r="BR16" s="183" t="s">
        <v>283</v>
      </c>
    </row>
    <row r="17" spans="1:70" x14ac:dyDescent="0.2">
      <c r="B17" t="s">
        <v>122</v>
      </c>
      <c r="C17" s="4">
        <v>60</v>
      </c>
      <c r="D17" s="4">
        <v>60</v>
      </c>
      <c r="E17" s="4">
        <v>60</v>
      </c>
      <c r="F17" s="4">
        <v>60</v>
      </c>
      <c r="G17" s="4">
        <v>60</v>
      </c>
      <c r="H17" s="4">
        <v>60</v>
      </c>
      <c r="I17" s="4">
        <v>60</v>
      </c>
      <c r="J17" s="4">
        <v>60</v>
      </c>
      <c r="K17" s="4">
        <v>60</v>
      </c>
      <c r="L17" s="4">
        <v>60</v>
      </c>
      <c r="M17" s="4">
        <v>60</v>
      </c>
      <c r="N17" s="4">
        <v>60</v>
      </c>
      <c r="O17" s="4">
        <v>60</v>
      </c>
      <c r="P17" s="4">
        <v>60</v>
      </c>
      <c r="Q17" s="4">
        <v>60</v>
      </c>
      <c r="R17" s="4">
        <v>60</v>
      </c>
      <c r="S17" s="4">
        <v>60</v>
      </c>
      <c r="T17" s="4">
        <v>60</v>
      </c>
      <c r="U17" s="4">
        <v>60</v>
      </c>
      <c r="V17" s="4">
        <v>60</v>
      </c>
      <c r="W17" s="4">
        <v>60</v>
      </c>
      <c r="X17" s="4">
        <v>60</v>
      </c>
      <c r="Y17" s="4">
        <v>60</v>
      </c>
      <c r="Z17" s="4">
        <v>60</v>
      </c>
      <c r="AA17" s="4">
        <v>60</v>
      </c>
      <c r="AB17" s="4">
        <v>60</v>
      </c>
      <c r="AC17" s="4">
        <v>60</v>
      </c>
      <c r="AD17" s="4">
        <v>60</v>
      </c>
      <c r="AE17" s="4">
        <v>60</v>
      </c>
      <c r="AF17" s="4">
        <v>60</v>
      </c>
      <c r="AG17" s="4">
        <v>60</v>
      </c>
      <c r="AH17" s="4">
        <v>60</v>
      </c>
      <c r="AI17" s="4">
        <v>60</v>
      </c>
      <c r="AJ17" s="4">
        <v>60</v>
      </c>
      <c r="AK17" s="4">
        <v>60</v>
      </c>
      <c r="AL17" s="4">
        <v>60</v>
      </c>
      <c r="AM17" s="4">
        <v>60</v>
      </c>
      <c r="AN17" s="4">
        <v>60</v>
      </c>
      <c r="AO17" s="4">
        <v>60</v>
      </c>
      <c r="AP17" s="4">
        <v>60</v>
      </c>
      <c r="AQ17" s="177">
        <v>60</v>
      </c>
      <c r="AR17" s="177">
        <v>60</v>
      </c>
      <c r="AS17" s="177">
        <v>60</v>
      </c>
      <c r="AT17" s="177">
        <v>60</v>
      </c>
      <c r="AU17" s="177">
        <v>60</v>
      </c>
      <c r="AV17" s="177">
        <v>60</v>
      </c>
      <c r="AW17" s="177">
        <v>60</v>
      </c>
      <c r="AX17" s="177">
        <v>60</v>
      </c>
      <c r="AY17" s="177">
        <v>60</v>
      </c>
      <c r="AZ17" s="177">
        <v>60</v>
      </c>
      <c r="BA17" s="177">
        <v>90</v>
      </c>
      <c r="BB17" s="177">
        <v>90</v>
      </c>
      <c r="BC17" s="177">
        <v>90</v>
      </c>
      <c r="BD17" s="177">
        <v>90</v>
      </c>
      <c r="BE17" s="177">
        <v>90</v>
      </c>
      <c r="BF17" s="177">
        <v>90</v>
      </c>
      <c r="BG17" s="177">
        <v>90</v>
      </c>
      <c r="BH17" s="177">
        <v>90</v>
      </c>
      <c r="BI17" s="177">
        <v>90</v>
      </c>
      <c r="BJ17" s="177">
        <v>90</v>
      </c>
      <c r="BK17" s="177">
        <v>90</v>
      </c>
      <c r="BL17" s="177">
        <v>90</v>
      </c>
      <c r="BM17" s="177">
        <v>90</v>
      </c>
      <c r="BN17" s="177">
        <v>90</v>
      </c>
      <c r="BO17" s="177">
        <v>90</v>
      </c>
      <c r="BP17" s="177">
        <v>90</v>
      </c>
      <c r="BQ17" s="247"/>
    </row>
    <row r="18" spans="1:70" x14ac:dyDescent="0.2">
      <c r="B18" s="44" t="s">
        <v>305</v>
      </c>
      <c r="AF18" s="215">
        <v>220</v>
      </c>
      <c r="AG18" s="215">
        <v>220</v>
      </c>
      <c r="AH18" s="215">
        <v>220</v>
      </c>
      <c r="AI18" s="215">
        <v>220</v>
      </c>
      <c r="AJ18" s="215">
        <v>220</v>
      </c>
      <c r="AK18" s="215">
        <v>220</v>
      </c>
      <c r="AL18" s="215">
        <v>220</v>
      </c>
      <c r="AM18" s="215">
        <v>220</v>
      </c>
      <c r="AN18" s="215">
        <v>220</v>
      </c>
      <c r="AO18" s="215">
        <v>220</v>
      </c>
      <c r="AP18" s="215">
        <v>220</v>
      </c>
      <c r="AQ18" s="215">
        <v>220</v>
      </c>
      <c r="AR18" s="215">
        <v>220</v>
      </c>
      <c r="AS18" s="215">
        <v>220</v>
      </c>
      <c r="AT18" s="215">
        <v>220</v>
      </c>
      <c r="AU18" s="215">
        <v>220</v>
      </c>
      <c r="AV18" s="215">
        <v>220</v>
      </c>
      <c r="AW18" s="215">
        <v>220</v>
      </c>
      <c r="AX18" s="215">
        <v>220</v>
      </c>
      <c r="AY18" s="215">
        <v>220</v>
      </c>
      <c r="AZ18" s="215">
        <v>220</v>
      </c>
      <c r="BA18" s="215">
        <v>220</v>
      </c>
      <c r="BB18" s="215">
        <v>220</v>
      </c>
      <c r="BC18" s="215">
        <v>220</v>
      </c>
      <c r="BD18" s="215">
        <v>220</v>
      </c>
      <c r="BE18" s="215">
        <v>220</v>
      </c>
      <c r="BF18" s="215">
        <v>220</v>
      </c>
      <c r="BG18" s="215">
        <v>220</v>
      </c>
      <c r="BH18" s="215">
        <v>220</v>
      </c>
      <c r="BI18" s="215">
        <v>220</v>
      </c>
      <c r="BJ18" s="215">
        <v>220</v>
      </c>
      <c r="BK18" s="215">
        <v>220</v>
      </c>
      <c r="BL18" s="215">
        <v>220</v>
      </c>
      <c r="BM18" s="215">
        <v>220</v>
      </c>
      <c r="BN18" s="215">
        <v>220</v>
      </c>
      <c r="BO18" s="215">
        <v>220</v>
      </c>
      <c r="BP18" s="215">
        <v>220</v>
      </c>
      <c r="BQ18" s="251"/>
    </row>
    <row r="19" spans="1:70" x14ac:dyDescent="0.2">
      <c r="B19" s="4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252"/>
    </row>
    <row r="20" spans="1:70" x14ac:dyDescent="0.2">
      <c r="A20" s="1"/>
      <c r="B20" s="1"/>
      <c r="T20" s="4"/>
      <c r="U20" s="4"/>
      <c r="V20" s="4">
        <f>V10-U10</f>
        <v>3169806</v>
      </c>
      <c r="W20" s="4">
        <f t="shared" ref="W20:Y20" si="21">W10-V10</f>
        <v>3131522</v>
      </c>
      <c r="X20" s="4">
        <f t="shared" si="21"/>
        <v>3249350</v>
      </c>
      <c r="Y20" s="4">
        <f t="shared" si="21"/>
        <v>3083692</v>
      </c>
      <c r="Z20" s="4">
        <f>37629935-Y10</f>
        <v>3647640</v>
      </c>
      <c r="AA20" s="4">
        <f>AA10</f>
        <v>3049331</v>
      </c>
      <c r="AB20" s="4">
        <f t="shared" ref="AB20:AK20" si="22">AB10-AA10</f>
        <v>2930779</v>
      </c>
      <c r="AC20" s="4">
        <f>AC10-AB10</f>
        <v>3234566</v>
      </c>
      <c r="AD20" s="4">
        <f t="shared" si="22"/>
        <v>3230025</v>
      </c>
      <c r="AE20" s="4">
        <f t="shared" si="22"/>
        <v>3262487</v>
      </c>
      <c r="AF20" s="4">
        <f t="shared" si="22"/>
        <v>3231662</v>
      </c>
      <c r="AG20" s="4">
        <f t="shared" si="22"/>
        <v>3558545</v>
      </c>
      <c r="AH20" s="4">
        <f t="shared" si="22"/>
        <v>3359288</v>
      </c>
      <c r="AI20" s="4">
        <f t="shared" si="22"/>
        <v>3328751</v>
      </c>
      <c r="AJ20" s="4">
        <f t="shared" si="22"/>
        <v>3402781</v>
      </c>
      <c r="AK20" s="4">
        <f t="shared" si="22"/>
        <v>3157011</v>
      </c>
      <c r="AL20" s="4">
        <f>39485987-AK10</f>
        <v>3740761</v>
      </c>
      <c r="AM20" s="4">
        <f>AM10</f>
        <v>3195860</v>
      </c>
      <c r="AN20" s="4">
        <f t="shared" ref="AN20:AS20" si="23">AN10-AM10</f>
        <v>3216661</v>
      </c>
      <c r="AO20" s="4">
        <f t="shared" si="23"/>
        <v>3556011</v>
      </c>
      <c r="AP20" s="4">
        <f t="shared" si="23"/>
        <v>3533450</v>
      </c>
      <c r="AQ20" s="177">
        <f t="shared" si="23"/>
        <v>3413206</v>
      </c>
      <c r="AR20" s="177">
        <f t="shared" si="23"/>
        <v>3457500</v>
      </c>
      <c r="AS20" s="177">
        <f t="shared" si="23"/>
        <v>3458942</v>
      </c>
      <c r="AT20" s="177">
        <f>AT10+AT11-AS10</f>
        <v>3457911</v>
      </c>
      <c r="AU20" s="177">
        <f>AU10+AU11-AT10-AT11</f>
        <v>3679980</v>
      </c>
      <c r="AV20" s="177">
        <f>AV10+AV11-AU10-AU11</f>
        <v>3422081</v>
      </c>
      <c r="AW20" s="177">
        <f>AW10+AW11-AV10-AV11</f>
        <v>3399496</v>
      </c>
      <c r="AX20" s="177">
        <f>AX10+AX11-AW10-AW11</f>
        <v>3270380</v>
      </c>
      <c r="AY20" s="177">
        <f>AY10+AY11</f>
        <v>3239881</v>
      </c>
      <c r="AZ20" s="177">
        <f t="shared" ref="AZ20:BE20" si="24">AZ10+AZ11-AY10-AY11</f>
        <v>3404939</v>
      </c>
      <c r="BA20" s="177">
        <f t="shared" si="24"/>
        <v>3531327</v>
      </c>
      <c r="BB20" s="177">
        <f t="shared" si="24"/>
        <v>3304069</v>
      </c>
      <c r="BC20" s="177">
        <f t="shared" si="24"/>
        <v>3481050</v>
      </c>
      <c r="BD20" s="177">
        <f t="shared" si="24"/>
        <v>3454158</v>
      </c>
      <c r="BE20" s="177">
        <f t="shared" si="24"/>
        <v>3477135</v>
      </c>
      <c r="BF20" s="177">
        <f>BF10+BF11-BE10-BE11</f>
        <v>3726160</v>
      </c>
      <c r="BG20" s="177">
        <f>BG10+BG11-BF10-BF11</f>
        <v>3415291</v>
      </c>
      <c r="BH20" s="177">
        <f>BH10+BH11-BG10-BG11</f>
        <v>3470284</v>
      </c>
      <c r="BI20" s="177">
        <f t="shared" ref="BI20" si="25">BI10+BI11-BH10-BH11</f>
        <v>3608023</v>
      </c>
      <c r="BJ20" s="177">
        <v>3423829</v>
      </c>
      <c r="BK20" s="177">
        <f>BK10+BK11</f>
        <v>3528888</v>
      </c>
      <c r="BL20" s="177">
        <f>BL10+BL11-BK10-BK11</f>
        <v>3463209</v>
      </c>
      <c r="BM20" s="177">
        <f>BM10+BM11-BL10-BL11</f>
        <v>3775865</v>
      </c>
      <c r="BN20" s="177">
        <f>BN10+BN11-BM10-BM11</f>
        <v>3660672</v>
      </c>
      <c r="BO20" s="177">
        <f>BO10+BO11-BN10-BN11</f>
        <v>3627762</v>
      </c>
      <c r="BP20" s="177">
        <f>BP10+BP11-BO10-BO11</f>
        <v>3788770</v>
      </c>
      <c r="BQ20" s="247"/>
      <c r="BR20" s="4" t="s">
        <v>284</v>
      </c>
    </row>
    <row r="21" spans="1:70" x14ac:dyDescent="0.2">
      <c r="E21"/>
      <c r="T21" s="4"/>
      <c r="U21" s="4"/>
      <c r="V21" s="4">
        <f>V12-U12</f>
        <v>184902</v>
      </c>
      <c r="W21" s="4">
        <f t="shared" ref="W21:Y21" si="26">W12-V12</f>
        <v>186633</v>
      </c>
      <c r="X21" s="4">
        <f t="shared" si="26"/>
        <v>221969</v>
      </c>
      <c r="Y21" s="4">
        <f t="shared" si="26"/>
        <v>226926</v>
      </c>
      <c r="Z21" s="4">
        <f>2394366-Y12</f>
        <v>370295</v>
      </c>
      <c r="AA21" s="4">
        <f>AA12</f>
        <v>220604</v>
      </c>
      <c r="AB21" s="4">
        <f t="shared" ref="AB21:AL21" si="27">AB12-AA12</f>
        <v>220400</v>
      </c>
      <c r="AC21" s="4">
        <f t="shared" si="27"/>
        <v>220759</v>
      </c>
      <c r="AD21" s="4">
        <f t="shared" si="27"/>
        <v>234878</v>
      </c>
      <c r="AE21" s="4">
        <f t="shared" si="27"/>
        <v>229610</v>
      </c>
      <c r="AF21" s="4">
        <f t="shared" si="27"/>
        <v>229689</v>
      </c>
      <c r="AG21" s="4">
        <f t="shared" si="27"/>
        <v>229875</v>
      </c>
      <c r="AH21" s="4">
        <f t="shared" si="27"/>
        <v>229652</v>
      </c>
      <c r="AI21" s="4">
        <f t="shared" si="27"/>
        <v>229158</v>
      </c>
      <c r="AJ21" s="4">
        <f t="shared" si="27"/>
        <v>229122</v>
      </c>
      <c r="AK21" s="4">
        <f t="shared" si="27"/>
        <v>229301</v>
      </c>
      <c r="AL21" s="4">
        <f t="shared" si="27"/>
        <v>228821</v>
      </c>
      <c r="AM21" s="4">
        <f>AM12</f>
        <v>225654</v>
      </c>
      <c r="AN21" s="4">
        <f t="shared" ref="AN21:AT21" si="28">AN12-AM12</f>
        <v>224720</v>
      </c>
      <c r="AO21" s="4">
        <f t="shared" si="28"/>
        <v>220071</v>
      </c>
      <c r="AP21" s="4">
        <f t="shared" si="28"/>
        <v>220350</v>
      </c>
      <c r="AQ21" s="177">
        <f t="shared" si="28"/>
        <v>217365</v>
      </c>
      <c r="AR21" s="177">
        <f t="shared" si="28"/>
        <v>217435</v>
      </c>
      <c r="AS21" s="177">
        <f t="shared" si="28"/>
        <v>219225</v>
      </c>
      <c r="AT21" s="177">
        <f t="shared" si="28"/>
        <v>218902</v>
      </c>
      <c r="AU21" s="177">
        <f>AU12-AT12</f>
        <v>220096</v>
      </c>
      <c r="AV21" s="177">
        <f>AV12-AU12</f>
        <v>220864</v>
      </c>
      <c r="AW21" s="177">
        <f>AW12-AV12</f>
        <v>220918</v>
      </c>
      <c r="AX21" s="177">
        <f>AX12-AW12</f>
        <v>221914</v>
      </c>
      <c r="AY21" s="177">
        <f>AY12</f>
        <v>220311</v>
      </c>
      <c r="AZ21" s="177">
        <f t="shared" ref="AZ21:BH21" si="29">AZ12-AY12</f>
        <v>215587</v>
      </c>
      <c r="BA21" s="177">
        <f t="shared" si="29"/>
        <v>218158</v>
      </c>
      <c r="BB21" s="177">
        <f t="shared" si="29"/>
        <v>199036</v>
      </c>
      <c r="BC21" s="177">
        <f t="shared" si="29"/>
        <v>200362</v>
      </c>
      <c r="BD21" s="177">
        <f t="shared" si="29"/>
        <v>203677</v>
      </c>
      <c r="BE21" s="177">
        <f t="shared" si="29"/>
        <v>205371</v>
      </c>
      <c r="BF21" s="177">
        <f t="shared" si="29"/>
        <v>204717</v>
      </c>
      <c r="BG21" s="177">
        <f t="shared" si="29"/>
        <v>204481</v>
      </c>
      <c r="BH21" s="177">
        <f t="shared" si="29"/>
        <v>203673</v>
      </c>
      <c r="BI21" s="177">
        <f>BI12-BH12</f>
        <v>197983</v>
      </c>
      <c r="BJ21" s="177">
        <f>BJ12-BI12</f>
        <v>205324</v>
      </c>
      <c r="BK21" s="177">
        <f>BK12</f>
        <v>201473</v>
      </c>
      <c r="BL21" s="177">
        <f>BL12-BK12</f>
        <v>200499</v>
      </c>
      <c r="BM21" s="177">
        <f>BM12-BL12</f>
        <v>188897</v>
      </c>
      <c r="BN21" s="177">
        <f>BN12-BM12</f>
        <v>187549</v>
      </c>
      <c r="BO21" s="177">
        <f>BO12-BN12</f>
        <v>195459</v>
      </c>
      <c r="BP21" s="177">
        <f>BP12-BO12</f>
        <v>194448</v>
      </c>
      <c r="BQ21" s="247"/>
      <c r="BR21" s="4" t="s">
        <v>285</v>
      </c>
    </row>
    <row r="22" spans="1:70" x14ac:dyDescent="0.2">
      <c r="C22" s="128">
        <v>40910</v>
      </c>
      <c r="D22" s="128">
        <v>40942</v>
      </c>
      <c r="E22" s="128">
        <v>40971</v>
      </c>
      <c r="F22" s="128">
        <v>41003</v>
      </c>
      <c r="G22" s="128">
        <v>41034</v>
      </c>
      <c r="H22" s="128">
        <v>41062</v>
      </c>
      <c r="I22" s="128">
        <v>41092</v>
      </c>
      <c r="J22" s="128">
        <v>41124</v>
      </c>
      <c r="K22" s="128">
        <v>41156</v>
      </c>
      <c r="L22" s="128">
        <v>41187</v>
      </c>
      <c r="M22" s="128">
        <v>41219</v>
      </c>
      <c r="N22" s="128">
        <v>41250</v>
      </c>
      <c r="O22" s="128">
        <v>41282</v>
      </c>
      <c r="P22" s="128"/>
      <c r="Q22" s="162" t="s">
        <v>242</v>
      </c>
      <c r="R22" s="162"/>
      <c r="Y22" s="4"/>
      <c r="Z22" s="4"/>
      <c r="AA22" s="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252"/>
      <c r="BR22" s="3"/>
    </row>
    <row r="23" spans="1:70" x14ac:dyDescent="0.2">
      <c r="E23"/>
      <c r="T23" s="4"/>
      <c r="U23" s="4"/>
      <c r="V23" s="4"/>
      <c r="W23" s="4"/>
      <c r="X23" s="4"/>
      <c r="Y23" s="4"/>
      <c r="Z23" s="4"/>
      <c r="AA23" s="4">
        <f t="shared" ref="AA23:AE24" si="30">SUM(V20:AA20)</f>
        <v>19331341</v>
      </c>
      <c r="AB23" s="4">
        <f t="shared" si="30"/>
        <v>19092314</v>
      </c>
      <c r="AC23" s="4">
        <f t="shared" si="30"/>
        <v>19195358</v>
      </c>
      <c r="AD23" s="4">
        <f t="shared" si="30"/>
        <v>19176033</v>
      </c>
      <c r="AE23" s="4">
        <f t="shared" si="30"/>
        <v>19354828</v>
      </c>
      <c r="AF23" s="4">
        <f t="shared" ref="AF23:AP24" si="31">SUM(AA20:AF20)</f>
        <v>18938850</v>
      </c>
      <c r="AG23" s="4">
        <f t="shared" si="31"/>
        <v>19448064</v>
      </c>
      <c r="AH23" s="4">
        <f t="shared" si="31"/>
        <v>19876573</v>
      </c>
      <c r="AI23" s="4">
        <f t="shared" si="31"/>
        <v>19970758</v>
      </c>
      <c r="AJ23" s="4">
        <f t="shared" si="31"/>
        <v>20143514</v>
      </c>
      <c r="AK23" s="4">
        <f t="shared" si="31"/>
        <v>20038038</v>
      </c>
      <c r="AL23" s="4">
        <f t="shared" si="31"/>
        <v>20547137</v>
      </c>
      <c r="AM23" s="4">
        <f t="shared" si="31"/>
        <v>20184452</v>
      </c>
      <c r="AN23" s="4">
        <f t="shared" si="31"/>
        <v>20041825</v>
      </c>
      <c r="AO23" s="4">
        <f t="shared" si="31"/>
        <v>20269085</v>
      </c>
      <c r="AP23" s="4">
        <f t="shared" si="31"/>
        <v>20399754</v>
      </c>
      <c r="AQ23" s="177">
        <f t="shared" ref="AQ23:AS24" si="32">SUM(AL20:AQ20)</f>
        <v>20655949</v>
      </c>
      <c r="AR23" s="177">
        <f t="shared" si="32"/>
        <v>20372688</v>
      </c>
      <c r="AS23" s="177">
        <f t="shared" si="32"/>
        <v>20635770</v>
      </c>
      <c r="AT23" s="177">
        <f t="shared" ref="AT23:AV24" si="33">SUM(AO20:AT20)</f>
        <v>20877020</v>
      </c>
      <c r="AU23" s="177">
        <f t="shared" si="33"/>
        <v>21000989</v>
      </c>
      <c r="AV23" s="177">
        <f t="shared" si="33"/>
        <v>20889620</v>
      </c>
      <c r="AW23" s="177">
        <f t="shared" ref="AW23:AY24" si="34">SUM(AR20:AW20)</f>
        <v>20875910</v>
      </c>
      <c r="AX23" s="177">
        <f t="shared" si="34"/>
        <v>20688790</v>
      </c>
      <c r="AY23" s="177">
        <f>SUM(AT20:AY20)</f>
        <v>20469729</v>
      </c>
      <c r="AZ23" s="177">
        <f t="shared" ref="AZ23:BB24" si="35">SUM(AU20:AZ20)</f>
        <v>20416757</v>
      </c>
      <c r="BA23" s="177">
        <f t="shared" si="35"/>
        <v>20268104</v>
      </c>
      <c r="BB23" s="177">
        <f t="shared" si="35"/>
        <v>20150092</v>
      </c>
      <c r="BC23" s="177">
        <f t="shared" ref="BC23:BE24" si="36">SUM(AX20:BC20)</f>
        <v>20231646</v>
      </c>
      <c r="BD23" s="177">
        <f t="shared" si="36"/>
        <v>20415424</v>
      </c>
      <c r="BE23" s="177">
        <f t="shared" si="36"/>
        <v>20652678</v>
      </c>
      <c r="BF23" s="177">
        <f t="shared" ref="BF23:BH24" si="37">SUM(BA20:BF20)</f>
        <v>20973899</v>
      </c>
      <c r="BG23" s="177">
        <f t="shared" si="37"/>
        <v>20857863</v>
      </c>
      <c r="BH23" s="177">
        <f t="shared" si="37"/>
        <v>21024078</v>
      </c>
      <c r="BI23" s="177">
        <f t="shared" ref="BI23:BK24" si="38">SUM(BD20:BI20)</f>
        <v>21151051</v>
      </c>
      <c r="BJ23" s="177">
        <f>SUM(BE20:BJ20)</f>
        <v>21120722</v>
      </c>
      <c r="BK23" s="177">
        <f t="shared" si="38"/>
        <v>21172475</v>
      </c>
      <c r="BL23" s="177">
        <f t="shared" ref="BL23:BN24" si="39">SUM(BG20:BL20)</f>
        <v>20909524</v>
      </c>
      <c r="BM23" s="177">
        <f t="shared" si="39"/>
        <v>21270098</v>
      </c>
      <c r="BN23" s="177">
        <f t="shared" si="39"/>
        <v>21460486</v>
      </c>
      <c r="BO23" s="177">
        <f>SUM(BJ20:BO20)</f>
        <v>21480225</v>
      </c>
      <c r="BP23" s="177">
        <f>SUM(BK20:BP20)</f>
        <v>21845166</v>
      </c>
      <c r="BQ23" s="247"/>
      <c r="BR23" s="175" t="s">
        <v>286</v>
      </c>
    </row>
    <row r="24" spans="1:70" x14ac:dyDescent="0.2">
      <c r="C24" s="154">
        <v>-108609</v>
      </c>
      <c r="D24" s="129">
        <v>-118776</v>
      </c>
      <c r="E24" s="129">
        <v>-387435</v>
      </c>
      <c r="F24" s="129">
        <v>-512985</v>
      </c>
      <c r="G24" s="129">
        <v>-770031</v>
      </c>
      <c r="H24" s="129">
        <v>-700273</v>
      </c>
      <c r="I24" s="129">
        <v>-386107</v>
      </c>
      <c r="J24" s="129">
        <v>198059</v>
      </c>
      <c r="K24" s="129">
        <v>347738</v>
      </c>
      <c r="L24" s="129">
        <v>422446</v>
      </c>
      <c r="M24" s="129">
        <v>132957</v>
      </c>
      <c r="N24" s="129">
        <v>421815</v>
      </c>
      <c r="O24" s="129">
        <v>-210260</v>
      </c>
      <c r="P24" s="129"/>
      <c r="Q24" s="129">
        <v>-480000</v>
      </c>
      <c r="R24" s="129"/>
      <c r="T24" s="4"/>
      <c r="U24" s="4"/>
      <c r="V24" s="4"/>
      <c r="W24" s="4"/>
      <c r="X24" s="4"/>
      <c r="Y24" s="4"/>
      <c r="Z24" s="4"/>
      <c r="AA24" s="4">
        <f t="shared" si="30"/>
        <v>1411329</v>
      </c>
      <c r="AB24" s="4">
        <f t="shared" si="30"/>
        <v>1446827</v>
      </c>
      <c r="AC24" s="4">
        <f t="shared" si="30"/>
        <v>1480953</v>
      </c>
      <c r="AD24" s="4">
        <f t="shared" si="30"/>
        <v>1493862</v>
      </c>
      <c r="AE24" s="4">
        <f t="shared" si="30"/>
        <v>1496546</v>
      </c>
      <c r="AF24" s="4">
        <f t="shared" si="31"/>
        <v>1355940</v>
      </c>
      <c r="AG24" s="4">
        <f t="shared" si="31"/>
        <v>1365211</v>
      </c>
      <c r="AH24" s="4">
        <f t="shared" si="31"/>
        <v>1374463</v>
      </c>
      <c r="AI24" s="4">
        <f t="shared" si="31"/>
        <v>1382862</v>
      </c>
      <c r="AJ24" s="4">
        <f t="shared" si="31"/>
        <v>1377106</v>
      </c>
      <c r="AK24" s="4">
        <f t="shared" si="31"/>
        <v>1376797</v>
      </c>
      <c r="AL24" s="4">
        <f t="shared" si="31"/>
        <v>1375929</v>
      </c>
      <c r="AM24" s="4">
        <f t="shared" si="31"/>
        <v>1371708</v>
      </c>
      <c r="AN24" s="4">
        <f t="shared" si="31"/>
        <v>1366776</v>
      </c>
      <c r="AO24" s="4">
        <f t="shared" si="31"/>
        <v>1357689</v>
      </c>
      <c r="AP24" s="4">
        <f t="shared" si="31"/>
        <v>1348917</v>
      </c>
      <c r="AQ24" s="177">
        <f t="shared" si="32"/>
        <v>1336981</v>
      </c>
      <c r="AR24" s="177">
        <f t="shared" si="32"/>
        <v>1325595</v>
      </c>
      <c r="AS24" s="177">
        <f t="shared" si="32"/>
        <v>1319166</v>
      </c>
      <c r="AT24" s="177">
        <f t="shared" si="33"/>
        <v>1313348</v>
      </c>
      <c r="AU24" s="177">
        <f t="shared" si="33"/>
        <v>1313373</v>
      </c>
      <c r="AV24" s="177">
        <f t="shared" si="33"/>
        <v>1313887</v>
      </c>
      <c r="AW24" s="177">
        <f t="shared" si="34"/>
        <v>1317440</v>
      </c>
      <c r="AX24" s="177">
        <f t="shared" si="34"/>
        <v>1321919</v>
      </c>
      <c r="AY24" s="177">
        <f t="shared" si="34"/>
        <v>1323005</v>
      </c>
      <c r="AZ24" s="177">
        <f t="shared" si="35"/>
        <v>1319690</v>
      </c>
      <c r="BA24" s="177">
        <f t="shared" si="35"/>
        <v>1317752</v>
      </c>
      <c r="BB24" s="177">
        <f t="shared" si="35"/>
        <v>1295924</v>
      </c>
      <c r="BC24" s="177">
        <f t="shared" si="36"/>
        <v>1275368</v>
      </c>
      <c r="BD24" s="177">
        <f t="shared" si="36"/>
        <v>1257131</v>
      </c>
      <c r="BE24" s="177">
        <f t="shared" si="36"/>
        <v>1242191</v>
      </c>
      <c r="BF24" s="177">
        <f t="shared" si="37"/>
        <v>1231321</v>
      </c>
      <c r="BG24" s="177">
        <f t="shared" si="37"/>
        <v>1217644</v>
      </c>
      <c r="BH24" s="177">
        <f t="shared" si="37"/>
        <v>1222281</v>
      </c>
      <c r="BI24" s="177">
        <f t="shared" si="38"/>
        <v>1219902</v>
      </c>
      <c r="BJ24" s="177">
        <f>SUM(BE21:BJ21)</f>
        <v>1221549</v>
      </c>
      <c r="BK24" s="177">
        <f t="shared" si="38"/>
        <v>1217651</v>
      </c>
      <c r="BL24" s="177">
        <f t="shared" si="39"/>
        <v>1213433</v>
      </c>
      <c r="BM24" s="177">
        <f t="shared" si="39"/>
        <v>1197849</v>
      </c>
      <c r="BN24" s="177">
        <f t="shared" si="39"/>
        <v>1181725</v>
      </c>
      <c r="BO24" s="177">
        <f>SUM(BJ21:BO21)</f>
        <v>1179201</v>
      </c>
      <c r="BP24" s="177">
        <f>SUM(BK21:BP21)</f>
        <v>1168325</v>
      </c>
      <c r="BQ24" s="247"/>
      <c r="BR24" s="187" t="s">
        <v>289</v>
      </c>
    </row>
    <row r="25" spans="1:70" x14ac:dyDescent="0.2">
      <c r="C25" s="154">
        <v>153717</v>
      </c>
      <c r="D25" s="129">
        <v>310007</v>
      </c>
      <c r="E25" s="129">
        <v>464964</v>
      </c>
      <c r="F25" s="129">
        <v>620372</v>
      </c>
      <c r="G25" s="129">
        <v>777141</v>
      </c>
      <c r="H25" s="129">
        <v>937273</v>
      </c>
      <c r="I25" s="129">
        <v>1097538</v>
      </c>
      <c r="J25" s="129">
        <v>1259288</v>
      </c>
      <c r="K25" s="129">
        <v>1421925</v>
      </c>
      <c r="L25" s="129">
        <v>1584840</v>
      </c>
      <c r="M25" s="129">
        <v>1744491</v>
      </c>
      <c r="N25" s="129">
        <v>1904892</v>
      </c>
      <c r="O25" s="129">
        <v>162881</v>
      </c>
      <c r="P25" s="129"/>
      <c r="Q25" s="129">
        <f>658698+1239526.74+(10000*8)</f>
        <v>1978224.74</v>
      </c>
      <c r="R25" s="129" t="s">
        <v>245</v>
      </c>
      <c r="T25" s="4"/>
      <c r="U25" s="4"/>
      <c r="V25" s="4"/>
      <c r="W25" s="4"/>
      <c r="X25" s="4"/>
      <c r="Y25" s="4"/>
      <c r="Z25" s="4"/>
      <c r="AA25" s="4">
        <f>AA23-AA24</f>
        <v>17920012</v>
      </c>
      <c r="AB25" s="4">
        <f t="shared" ref="AB25:AP25" si="40">AB23-AB24</f>
        <v>17645487</v>
      </c>
      <c r="AC25" s="4">
        <f t="shared" si="40"/>
        <v>17714405</v>
      </c>
      <c r="AD25" s="4">
        <f t="shared" si="40"/>
        <v>17682171</v>
      </c>
      <c r="AE25" s="4">
        <f t="shared" si="40"/>
        <v>17858282</v>
      </c>
      <c r="AF25" s="4">
        <f t="shared" si="40"/>
        <v>17582910</v>
      </c>
      <c r="AG25" s="4">
        <f t="shared" si="40"/>
        <v>18082853</v>
      </c>
      <c r="AH25" s="4">
        <f t="shared" si="40"/>
        <v>18502110</v>
      </c>
      <c r="AI25" s="4">
        <f t="shared" si="40"/>
        <v>18587896</v>
      </c>
      <c r="AJ25" s="4">
        <f t="shared" si="40"/>
        <v>18766408</v>
      </c>
      <c r="AK25" s="4">
        <f t="shared" si="40"/>
        <v>18661241</v>
      </c>
      <c r="AL25" s="4">
        <f t="shared" si="40"/>
        <v>19171208</v>
      </c>
      <c r="AM25" s="4">
        <f t="shared" si="40"/>
        <v>18812744</v>
      </c>
      <c r="AN25" s="4">
        <f t="shared" si="40"/>
        <v>18675049</v>
      </c>
      <c r="AO25" s="4">
        <f t="shared" si="40"/>
        <v>18911396</v>
      </c>
      <c r="AP25" s="4">
        <f t="shared" si="40"/>
        <v>19050837</v>
      </c>
      <c r="AQ25" s="177">
        <f t="shared" ref="AQ25:AV25" si="41">AQ23-AQ24</f>
        <v>19318968</v>
      </c>
      <c r="AR25" s="177">
        <f t="shared" si="41"/>
        <v>19047093</v>
      </c>
      <c r="AS25" s="177">
        <f t="shared" si="41"/>
        <v>19316604</v>
      </c>
      <c r="AT25" s="177">
        <f t="shared" si="41"/>
        <v>19563672</v>
      </c>
      <c r="AU25" s="177">
        <f t="shared" si="41"/>
        <v>19687616</v>
      </c>
      <c r="AV25" s="177">
        <f t="shared" si="41"/>
        <v>19575733</v>
      </c>
      <c r="AW25" s="177">
        <f t="shared" ref="AW25:BB25" si="42">AW23-AW24</f>
        <v>19558470</v>
      </c>
      <c r="AX25" s="177">
        <f t="shared" si="42"/>
        <v>19366871</v>
      </c>
      <c r="AY25" s="177">
        <f t="shared" si="42"/>
        <v>19146724</v>
      </c>
      <c r="AZ25" s="177">
        <f t="shared" si="42"/>
        <v>19097067</v>
      </c>
      <c r="BA25" s="177">
        <f t="shared" si="42"/>
        <v>18950352</v>
      </c>
      <c r="BB25" s="177">
        <f t="shared" si="42"/>
        <v>18854168</v>
      </c>
      <c r="BC25" s="177">
        <f t="shared" ref="BC25:BH25" si="43">BC23-BC24</f>
        <v>18956278</v>
      </c>
      <c r="BD25" s="177">
        <f t="shared" si="43"/>
        <v>19158293</v>
      </c>
      <c r="BE25" s="177">
        <f t="shared" si="43"/>
        <v>19410487</v>
      </c>
      <c r="BF25" s="177">
        <f t="shared" si="43"/>
        <v>19742578</v>
      </c>
      <c r="BG25" s="177">
        <f t="shared" si="43"/>
        <v>19640219</v>
      </c>
      <c r="BH25" s="177">
        <f t="shared" si="43"/>
        <v>19801797</v>
      </c>
      <c r="BI25" s="177">
        <f t="shared" ref="BI25:BN25" si="44">BI23-BI24</f>
        <v>19931149</v>
      </c>
      <c r="BJ25" s="177">
        <f t="shared" si="44"/>
        <v>19899173</v>
      </c>
      <c r="BK25" s="177">
        <f t="shared" si="44"/>
        <v>19954824</v>
      </c>
      <c r="BL25" s="177">
        <f t="shared" si="44"/>
        <v>19696091</v>
      </c>
      <c r="BM25" s="177">
        <f t="shared" si="44"/>
        <v>20072249</v>
      </c>
      <c r="BN25" s="177">
        <f t="shared" si="44"/>
        <v>20278761</v>
      </c>
      <c r="BO25" s="177">
        <f>BO23-BO24</f>
        <v>20301024</v>
      </c>
      <c r="BP25" s="177">
        <f>BP23-BP24</f>
        <v>20676841</v>
      </c>
      <c r="BQ25" s="247"/>
      <c r="BR25" s="185" t="s">
        <v>287</v>
      </c>
    </row>
    <row r="26" spans="1:70" x14ac:dyDescent="0.2">
      <c r="C26" s="155">
        <v>76844</v>
      </c>
      <c r="D26" s="130">
        <v>149034</v>
      </c>
      <c r="E26" s="130">
        <v>225869</v>
      </c>
      <c r="F26" s="130">
        <v>300226</v>
      </c>
      <c r="G26" s="130">
        <v>377156</v>
      </c>
      <c r="H26" s="130">
        <v>451512</v>
      </c>
      <c r="I26" s="130">
        <v>525254</v>
      </c>
      <c r="J26" s="130">
        <v>607649</v>
      </c>
      <c r="K26" s="130">
        <v>682674</v>
      </c>
      <c r="L26" s="130">
        <v>760128</v>
      </c>
      <c r="M26" s="130">
        <v>835170</v>
      </c>
      <c r="N26" s="130">
        <v>911571</v>
      </c>
      <c r="O26" s="130">
        <v>74723</v>
      </c>
      <c r="P26" s="130"/>
      <c r="Q26" s="130">
        <f>449519.38+436288.13+21331.3+14538.51</f>
        <v>921677.32000000007</v>
      </c>
      <c r="R26" s="163" t="s">
        <v>243</v>
      </c>
      <c r="AA26" s="47">
        <f t="shared" ref="AA26:AP26" si="45">(AA7/AA25)*(365/2)</f>
        <v>91.605009109368893</v>
      </c>
      <c r="AB26" s="47">
        <f t="shared" si="45"/>
        <v>92.155291888515166</v>
      </c>
      <c r="AC26" s="47">
        <f t="shared" si="45"/>
        <v>98.239974472752536</v>
      </c>
      <c r="AD26" s="47">
        <f t="shared" si="45"/>
        <v>95.167947702801882</v>
      </c>
      <c r="AE26" s="47">
        <f t="shared" si="45"/>
        <v>93.651393510305198</v>
      </c>
      <c r="AF26" s="47">
        <f t="shared" si="45"/>
        <v>100.86782932972983</v>
      </c>
      <c r="AG26" s="47">
        <f t="shared" si="45"/>
        <v>114.53333884039203</v>
      </c>
      <c r="AH26" s="47">
        <f t="shared" si="45"/>
        <v>123.59014338499772</v>
      </c>
      <c r="AI26" s="47">
        <f t="shared" si="45"/>
        <v>136.80290483118694</v>
      </c>
      <c r="AJ26" s="47">
        <f t="shared" si="45"/>
        <v>139.03921078024095</v>
      </c>
      <c r="AK26" s="47">
        <f t="shared" si="45"/>
        <v>142.56870329390205</v>
      </c>
      <c r="AL26" s="47">
        <f t="shared" si="45"/>
        <v>142.52929718878434</v>
      </c>
      <c r="AM26" s="47">
        <f t="shared" si="45"/>
        <v>135.27907093191723</v>
      </c>
      <c r="AN26" s="47">
        <f t="shared" si="45"/>
        <v>134.65052139889968</v>
      </c>
      <c r="AO26" s="47">
        <f t="shared" si="45"/>
        <v>136.24647248807017</v>
      </c>
      <c r="AP26" s="47">
        <f t="shared" si="45"/>
        <v>130.87851464872645</v>
      </c>
      <c r="AQ26" s="182">
        <f t="shared" ref="AQ26:AV26" si="46">(AQ7/AQ25)*(365/2)</f>
        <v>131.56034822874597</v>
      </c>
      <c r="AR26" s="182">
        <f t="shared" si="46"/>
        <v>135.8023135078933</v>
      </c>
      <c r="AS26" s="182">
        <f t="shared" si="46"/>
        <v>145.18713511961005</v>
      </c>
      <c r="AT26" s="182">
        <f t="shared" si="46"/>
        <v>157.5082377173365</v>
      </c>
      <c r="AU26" s="182">
        <f t="shared" si="46"/>
        <v>165.78444261610954</v>
      </c>
      <c r="AV26" s="182">
        <f t="shared" si="46"/>
        <v>166.36293338287766</v>
      </c>
      <c r="AW26" s="182">
        <f t="shared" ref="AW26:AX26" si="47">(AW7/AW25)*(365/2)</f>
        <v>169.02449322467453</v>
      </c>
      <c r="AX26" s="182">
        <f t="shared" si="47"/>
        <v>174.5923552906404</v>
      </c>
      <c r="AY26" s="182">
        <f t="shared" ref="AY26" si="48">(AY7/AY25)*(365/2)</f>
        <v>169.31821443710163</v>
      </c>
      <c r="AZ26" s="182">
        <f t="shared" ref="AZ26:BE26" si="49">(AZ7/AZ25)*(365/2)</f>
        <v>181.27722466491844</v>
      </c>
      <c r="BA26" s="182">
        <f t="shared" si="49"/>
        <v>184.61397524436484</v>
      </c>
      <c r="BB26" s="182">
        <f t="shared" si="49"/>
        <v>180.56953812546914</v>
      </c>
      <c r="BC26" s="182">
        <f t="shared" si="49"/>
        <v>187.33494676539348</v>
      </c>
      <c r="BD26" s="182">
        <f t="shared" si="49"/>
        <v>185.00146346545591</v>
      </c>
      <c r="BE26" s="182">
        <f t="shared" si="49"/>
        <v>196.42268004404011</v>
      </c>
      <c r="BF26" s="182">
        <f>(BF7/BF25)*(365/2)</f>
        <v>202.44684534106943</v>
      </c>
      <c r="BG26" s="182">
        <f>(BG7/BG25)*(365/2)</f>
        <v>208.44498488026025</v>
      </c>
      <c r="BH26" s="182">
        <f>(BH7/BH25)*(365/2)</f>
        <v>212.22571340368756</v>
      </c>
      <c r="BI26" s="182">
        <f>(BI7/BI25)*(365/2)</f>
        <v>218.11500568783066</v>
      </c>
      <c r="BJ26" s="182">
        <f>(BJ7/BJ25)*(365/2)</f>
        <v>214.03088158487793</v>
      </c>
      <c r="BK26" s="182">
        <f t="shared" ref="BK26" si="50">(BK7/BK25)*(365/2)</f>
        <v>203.35942639734631</v>
      </c>
      <c r="BL26" s="182">
        <f>(BL7/BL25)*(365/2)</f>
        <v>207.27946791574021</v>
      </c>
      <c r="BM26" s="182">
        <f>(BM7/BM25)*(365/2)</f>
        <v>198.73967996809924</v>
      </c>
      <c r="BN26" s="182">
        <f>(BN7/BN25)*(365/2)</f>
        <v>197.17667736209327</v>
      </c>
      <c r="BO26" s="182">
        <f>(BO7/BO25)*(365/2)</f>
        <v>192.38949978582363</v>
      </c>
      <c r="BP26" s="182">
        <f>(BP7/BP25)*(365/2)</f>
        <v>188.67356430317378</v>
      </c>
      <c r="BQ26" s="250"/>
      <c r="BR26" s="186" t="s">
        <v>288</v>
      </c>
    </row>
    <row r="27" spans="1:70" x14ac:dyDescent="0.2">
      <c r="C27" s="129">
        <f t="shared" ref="C27:F27" si="51">SUM(C24:C26)</f>
        <v>121952</v>
      </c>
      <c r="D27" s="129">
        <f t="shared" si="51"/>
        <v>340265</v>
      </c>
      <c r="E27" s="129">
        <f t="shared" si="51"/>
        <v>303398</v>
      </c>
      <c r="F27" s="129">
        <f t="shared" si="51"/>
        <v>407613</v>
      </c>
      <c r="G27" s="129">
        <f t="shared" ref="G27:M27" si="52">SUM(G24:G26)</f>
        <v>384266</v>
      </c>
      <c r="H27" s="129">
        <f t="shared" si="52"/>
        <v>688512</v>
      </c>
      <c r="I27" s="129">
        <f t="shared" si="52"/>
        <v>1236685</v>
      </c>
      <c r="J27" s="129">
        <f t="shared" si="52"/>
        <v>2064996</v>
      </c>
      <c r="K27" s="129">
        <f t="shared" si="52"/>
        <v>2452337</v>
      </c>
      <c r="L27" s="129">
        <f t="shared" si="52"/>
        <v>2767414</v>
      </c>
      <c r="M27" s="129">
        <f t="shared" si="52"/>
        <v>2712618</v>
      </c>
      <c r="N27" s="129">
        <f>SUM(N24:N26)</f>
        <v>3238278</v>
      </c>
      <c r="O27" s="129">
        <f>SUM(O24:O26)</f>
        <v>27344</v>
      </c>
      <c r="P27" s="129"/>
      <c r="Q27" s="129">
        <f>SUM(Q24:Q26)</f>
        <v>2419902.06</v>
      </c>
      <c r="R27" s="129"/>
      <c r="BQ27" s="245"/>
    </row>
    <row r="28" spans="1:70" x14ac:dyDescent="0.2">
      <c r="C28" s="129">
        <f t="shared" ref="C28:O28" si="53">SUM(C27:C27)</f>
        <v>121952</v>
      </c>
      <c r="D28" s="129">
        <f t="shared" si="53"/>
        <v>340265</v>
      </c>
      <c r="E28" s="129">
        <f t="shared" si="53"/>
        <v>303398</v>
      </c>
      <c r="F28" s="129">
        <f t="shared" si="53"/>
        <v>407613</v>
      </c>
      <c r="G28" s="129">
        <f t="shared" si="53"/>
        <v>384266</v>
      </c>
      <c r="H28" s="129">
        <f t="shared" si="53"/>
        <v>688512</v>
      </c>
      <c r="I28" s="129">
        <f t="shared" si="53"/>
        <v>1236685</v>
      </c>
      <c r="J28" s="129">
        <f t="shared" si="53"/>
        <v>2064996</v>
      </c>
      <c r="K28" s="129">
        <f t="shared" si="53"/>
        <v>2452337</v>
      </c>
      <c r="L28" s="129">
        <f t="shared" si="53"/>
        <v>2767414</v>
      </c>
      <c r="M28" s="129">
        <f t="shared" si="53"/>
        <v>2712618</v>
      </c>
      <c r="N28" s="129">
        <f t="shared" si="53"/>
        <v>3238278</v>
      </c>
      <c r="O28" s="129">
        <f t="shared" si="53"/>
        <v>27344</v>
      </c>
      <c r="P28" s="129"/>
      <c r="Q28" s="129">
        <f>SUM(Q27:Q27)</f>
        <v>2419902.06</v>
      </c>
      <c r="R28" s="129"/>
      <c r="BQ28" s="245"/>
    </row>
    <row r="29" spans="1:70" x14ac:dyDescent="0.2">
      <c r="C29" s="131">
        <f>((449519.38+449519.38+730000)/12)*1</f>
        <v>135753.23000000001</v>
      </c>
      <c r="D29" s="131">
        <f>((449519.38+449519.38+730000)/12)*2</f>
        <v>271506.46000000002</v>
      </c>
      <c r="E29" s="131">
        <f>((449519.38+449519.38+730000)/12)*3</f>
        <v>407259.69000000006</v>
      </c>
      <c r="F29" s="131">
        <f>((449519.38+449519.38+730000)/12)*4</f>
        <v>543012.92000000004</v>
      </c>
      <c r="G29" s="131">
        <f>((449519.38+449519.38+730000)/12)*5</f>
        <v>678766.15</v>
      </c>
      <c r="H29" s="131">
        <f>((449519.38+449519.38+730000)/12)*6</f>
        <v>814519.38000000012</v>
      </c>
      <c r="I29" s="131">
        <f>((705000+461856.88+449519.38)+(59349.88+8664.08))/12*7</f>
        <v>982560.96166666655</v>
      </c>
      <c r="J29" s="131">
        <f>((705000+461856.88+449519.38)+(59349.88+8664.08))/12*8</f>
        <v>1122926.8133333332</v>
      </c>
      <c r="K29" s="131">
        <f>((705000+461856.88+449519.38)+(59349.88+8664.08))/12*9</f>
        <v>1263292.6649999998</v>
      </c>
      <c r="L29" s="131">
        <f>((705000+461856.88+449519.38)+(59349.88+8664.08))/12*10</f>
        <v>1403658.5166666666</v>
      </c>
      <c r="M29" s="131">
        <f>((730000+449519.38+436288.13)+(59349.88+14722.66))/12*11</f>
        <v>1549056.7124999999</v>
      </c>
      <c r="N29" s="131">
        <f>((705000+461856.88+449519.38)+(67945.6+0))/12*12</f>
        <v>1684321.8599999999</v>
      </c>
      <c r="O29" s="131">
        <f>((730000+449519.38+436288.13)+(136027.92+135236.5))/12*1</f>
        <v>157255.99416666664</v>
      </c>
      <c r="P29" s="131"/>
      <c r="Q29" s="131">
        <f>((730000+449519.38+436288.13)+(135891.2+164529.63))</f>
        <v>1916228.3399999999</v>
      </c>
      <c r="R29" s="164" t="s">
        <v>244</v>
      </c>
      <c r="BQ29" s="245"/>
    </row>
    <row r="30" spans="1:70" x14ac:dyDescent="0.2">
      <c r="C30" s="132"/>
      <c r="D30" s="132"/>
      <c r="E30" s="132"/>
      <c r="F30" s="132"/>
      <c r="BQ30" s="245"/>
    </row>
    <row r="31" spans="1:70" x14ac:dyDescent="0.2">
      <c r="C31" s="132">
        <f t="shared" ref="C31:N31" si="54">C28/C29</f>
        <v>0.89833589963200133</v>
      </c>
      <c r="D31" s="132">
        <f t="shared" si="54"/>
        <v>1.2532482652530623</v>
      </c>
      <c r="E31" s="132">
        <f t="shared" si="54"/>
        <v>0.74497429392042203</v>
      </c>
      <c r="F31" s="132">
        <f t="shared" si="54"/>
        <v>0.75065064750208887</v>
      </c>
      <c r="G31" s="132">
        <f t="shared" si="54"/>
        <v>0.56612428300969342</v>
      </c>
      <c r="H31" s="132">
        <f t="shared" si="54"/>
        <v>0.84529848755716519</v>
      </c>
      <c r="I31" s="132">
        <f t="shared" si="54"/>
        <v>1.2586343730797895</v>
      </c>
      <c r="J31" s="132">
        <f t="shared" si="54"/>
        <v>1.8389408601529402</v>
      </c>
      <c r="K31" s="132">
        <f t="shared" si="54"/>
        <v>1.9412263428284851</v>
      </c>
      <c r="L31" s="132">
        <f t="shared" si="54"/>
        <v>1.9715721218091613</v>
      </c>
      <c r="M31" s="132">
        <f t="shared" si="54"/>
        <v>1.7511418259323415</v>
      </c>
      <c r="N31" s="132">
        <f t="shared" si="54"/>
        <v>1.922600470197543</v>
      </c>
      <c r="O31" s="132">
        <f>O28/O29</f>
        <v>0.17388208408144784</v>
      </c>
      <c r="P31" s="132"/>
      <c r="Q31" s="161">
        <f>Q28/Q29</f>
        <v>1.2628463996101844</v>
      </c>
      <c r="R31" s="161"/>
      <c r="AZ31" s="3"/>
      <c r="BQ31" s="245"/>
    </row>
    <row r="32" spans="1:70" x14ac:dyDescent="0.2">
      <c r="AY32" s="258"/>
      <c r="AZ32" s="258"/>
      <c r="BA32" s="258"/>
      <c r="BB32" s="258"/>
      <c r="BC32" s="258"/>
      <c r="BD32" s="258"/>
      <c r="BE32" s="257">
        <v>42582</v>
      </c>
      <c r="BF32" s="257">
        <v>42613</v>
      </c>
      <c r="BG32" s="257">
        <v>42643</v>
      </c>
      <c r="BH32" s="257">
        <v>42674</v>
      </c>
      <c r="BI32" s="257">
        <v>42704</v>
      </c>
      <c r="BJ32" s="257">
        <v>42705</v>
      </c>
      <c r="BK32" s="257">
        <v>42736</v>
      </c>
      <c r="BL32" s="257">
        <v>42767</v>
      </c>
      <c r="BM32" s="257">
        <v>42825</v>
      </c>
      <c r="BN32" s="257">
        <v>42855</v>
      </c>
      <c r="BO32" s="257">
        <v>42886</v>
      </c>
      <c r="BP32" s="257">
        <v>42916</v>
      </c>
      <c r="BQ32" s="245"/>
    </row>
    <row r="33" spans="1:69" x14ac:dyDescent="0.2">
      <c r="A33" s="1" t="s">
        <v>324</v>
      </c>
      <c r="B33" s="1"/>
      <c r="C33" s="132">
        <v>1.25</v>
      </c>
      <c r="D33" s="132">
        <v>1.25</v>
      </c>
      <c r="E33" s="132">
        <v>1.25</v>
      </c>
      <c r="F33" s="132">
        <v>1.25</v>
      </c>
      <c r="G33" s="132">
        <v>1.25</v>
      </c>
      <c r="H33" s="132">
        <v>1.25</v>
      </c>
      <c r="I33" s="132">
        <v>1.25</v>
      </c>
      <c r="J33" s="132">
        <v>1.25</v>
      </c>
      <c r="K33" s="132">
        <v>1.25</v>
      </c>
      <c r="L33" s="132">
        <v>1.25</v>
      </c>
      <c r="M33" s="132">
        <v>1.25</v>
      </c>
      <c r="N33" s="132">
        <v>1.25</v>
      </c>
      <c r="O33" s="132">
        <v>1.25</v>
      </c>
      <c r="P33" s="132"/>
      <c r="Q33" s="161">
        <v>1.25</v>
      </c>
      <c r="R33" s="161"/>
      <c r="AY33" s="3"/>
      <c r="AZ33" s="3"/>
      <c r="BA33" s="3"/>
      <c r="BB33" s="3"/>
      <c r="BC33" s="3"/>
      <c r="BD33" s="3"/>
      <c r="BQ33" s="245"/>
    </row>
    <row r="34" spans="1:69" s="1" customFormat="1" x14ac:dyDescent="0.2">
      <c r="B34" s="1" t="s">
        <v>278</v>
      </c>
      <c r="C34" s="253"/>
      <c r="D34" s="253"/>
      <c r="E34" s="253"/>
      <c r="F34" s="253"/>
      <c r="S34" s="254"/>
      <c r="AY34" s="259"/>
      <c r="AZ34" s="259"/>
      <c r="BA34" s="259"/>
      <c r="BB34" s="259"/>
      <c r="BC34" s="259"/>
      <c r="BD34" s="259"/>
      <c r="BE34" s="255">
        <v>4646328</v>
      </c>
      <c r="BF34" s="255">
        <v>4176105</v>
      </c>
      <c r="BG34" s="255">
        <v>5155044</v>
      </c>
      <c r="BH34" s="255">
        <v>5613259</v>
      </c>
      <c r="BI34" s="255">
        <v>5226966</v>
      </c>
      <c r="BJ34" s="255">
        <v>4386054</v>
      </c>
      <c r="BK34" s="255">
        <v>5028636</v>
      </c>
      <c r="BL34" s="255">
        <v>5021518</v>
      </c>
      <c r="BM34" s="255">
        <v>5263162</v>
      </c>
      <c r="BN34" s="255">
        <v>5058108</v>
      </c>
      <c r="BO34" s="255">
        <v>3175298</v>
      </c>
      <c r="BP34" s="255">
        <v>3366244</v>
      </c>
      <c r="BQ34" s="245"/>
    </row>
    <row r="35" spans="1:69" x14ac:dyDescent="0.2">
      <c r="B35" t="s">
        <v>148</v>
      </c>
      <c r="AY35" s="3"/>
      <c r="AZ35" s="3"/>
      <c r="BA35" s="3"/>
      <c r="BB35" s="3"/>
      <c r="BC35" s="3"/>
      <c r="BD35" s="3"/>
      <c r="BQ35" s="245"/>
    </row>
    <row r="36" spans="1:69" x14ac:dyDescent="0.2">
      <c r="B36" t="s">
        <v>325</v>
      </c>
      <c r="AY36" s="3"/>
      <c r="AZ36" s="3"/>
      <c r="BA36" s="3"/>
      <c r="BB36" s="3"/>
      <c r="BC36" s="3"/>
      <c r="BD36" s="3"/>
      <c r="BE36">
        <v>145805.56</v>
      </c>
      <c r="BF36">
        <v>145805.56</v>
      </c>
      <c r="BG36">
        <v>145805.56</v>
      </c>
      <c r="BH36">
        <v>145805.56</v>
      </c>
      <c r="BI36">
        <v>145805.56</v>
      </c>
      <c r="BJ36">
        <v>145805.56</v>
      </c>
      <c r="BK36">
        <v>145805.56</v>
      </c>
      <c r="BL36">
        <v>145805.56</v>
      </c>
      <c r="BM36">
        <v>145805.56</v>
      </c>
      <c r="BN36">
        <v>145805.56</v>
      </c>
      <c r="BO36">
        <v>145805.56</v>
      </c>
      <c r="BP36">
        <v>145805.56</v>
      </c>
      <c r="BQ36" s="245"/>
    </row>
    <row r="37" spans="1:69" x14ac:dyDescent="0.2">
      <c r="B37" s="44" t="s">
        <v>343</v>
      </c>
      <c r="AY37" s="3"/>
      <c r="AZ37" s="3"/>
      <c r="BA37" s="3"/>
      <c r="BB37" s="3"/>
      <c r="BC37" s="3"/>
      <c r="BD37" s="3"/>
      <c r="BE37">
        <v>148222.22</v>
      </c>
      <c r="BF37">
        <v>148222.22</v>
      </c>
      <c r="BG37">
        <v>148222.22</v>
      </c>
      <c r="BH37">
        <v>148222.22</v>
      </c>
      <c r="BI37">
        <v>148222.22</v>
      </c>
      <c r="BJ37">
        <v>148222.22</v>
      </c>
      <c r="BK37">
        <v>148222.22</v>
      </c>
      <c r="BL37">
        <v>148222.22</v>
      </c>
      <c r="BM37">
        <v>148222.22</v>
      </c>
      <c r="BN37">
        <v>148222.22</v>
      </c>
      <c r="BO37">
        <v>148222.22</v>
      </c>
      <c r="BP37">
        <v>148222.22</v>
      </c>
      <c r="BQ37" s="245"/>
    </row>
    <row r="38" spans="1:69" x14ac:dyDescent="0.2">
      <c r="B38" s="44" t="s">
        <v>326</v>
      </c>
      <c r="AY38" s="3"/>
      <c r="AZ38" s="3"/>
      <c r="BA38" s="3"/>
      <c r="BB38" s="3"/>
      <c r="BC38" s="3"/>
      <c r="BD38" s="3"/>
      <c r="BE38">
        <v>61435.67</v>
      </c>
      <c r="BF38">
        <v>61435.67</v>
      </c>
      <c r="BG38">
        <v>61435.67</v>
      </c>
      <c r="BH38">
        <v>61435.67</v>
      </c>
      <c r="BI38">
        <v>61435.67</v>
      </c>
      <c r="BJ38">
        <v>61435.67</v>
      </c>
      <c r="BK38">
        <v>61435.67</v>
      </c>
      <c r="BL38">
        <v>61435.67</v>
      </c>
      <c r="BM38">
        <v>61435.67</v>
      </c>
      <c r="BN38">
        <v>61435.67</v>
      </c>
      <c r="BO38">
        <v>61435.67</v>
      </c>
      <c r="BP38">
        <v>61435.67</v>
      </c>
      <c r="BQ38" s="245"/>
    </row>
    <row r="39" spans="1:69" x14ac:dyDescent="0.2">
      <c r="B39" s="44" t="s">
        <v>344</v>
      </c>
      <c r="AY39" s="3"/>
      <c r="AZ39" s="3"/>
      <c r="BA39" s="3"/>
      <c r="BB39" s="3"/>
      <c r="BC39" s="3"/>
      <c r="BD39" s="3"/>
      <c r="BE39">
        <v>72098.61</v>
      </c>
      <c r="BF39">
        <v>72098.61</v>
      </c>
      <c r="BG39">
        <v>72098.61</v>
      </c>
      <c r="BH39">
        <v>72098.61</v>
      </c>
      <c r="BI39">
        <v>72098.61</v>
      </c>
      <c r="BJ39">
        <v>72098.61</v>
      </c>
      <c r="BK39">
        <v>62453.94</v>
      </c>
      <c r="BL39">
        <v>62453.94</v>
      </c>
      <c r="BM39">
        <v>62453.94</v>
      </c>
      <c r="BN39">
        <v>62453.94</v>
      </c>
      <c r="BO39">
        <v>62453.94</v>
      </c>
      <c r="BP39">
        <v>62453.94</v>
      </c>
      <c r="BQ39" s="245"/>
    </row>
    <row r="40" spans="1:69" x14ac:dyDescent="0.2">
      <c r="B40" s="44" t="s">
        <v>331</v>
      </c>
      <c r="AY40" s="3"/>
      <c r="AZ40" s="3"/>
      <c r="BA40" s="3"/>
      <c r="BB40" s="3"/>
      <c r="BC40" s="3"/>
      <c r="BD40" s="3"/>
      <c r="BE40">
        <v>1020000</v>
      </c>
      <c r="BF40">
        <v>1020000</v>
      </c>
      <c r="BG40">
        <v>1020000</v>
      </c>
      <c r="BH40">
        <v>1020000</v>
      </c>
      <c r="BI40">
        <v>1020000</v>
      </c>
      <c r="BJ40">
        <v>1020000</v>
      </c>
      <c r="BK40">
        <v>1020000</v>
      </c>
      <c r="BL40">
        <v>1020000</v>
      </c>
      <c r="BM40">
        <v>1020000</v>
      </c>
      <c r="BN40">
        <v>1020000</v>
      </c>
      <c r="BO40">
        <v>1020000</v>
      </c>
      <c r="BP40">
        <v>1020000</v>
      </c>
      <c r="BQ40" s="245"/>
    </row>
    <row r="41" spans="1:69" s="1" customFormat="1" ht="13.5" thickBot="1" x14ac:dyDescent="0.25">
      <c r="B41" s="1" t="s">
        <v>322</v>
      </c>
      <c r="E41" s="254"/>
      <c r="S41" s="254"/>
      <c r="AY41" s="259"/>
      <c r="AZ41" s="259"/>
      <c r="BA41" s="259"/>
      <c r="BB41" s="259"/>
      <c r="BC41" s="259"/>
      <c r="BD41" s="259"/>
      <c r="BE41" s="256">
        <f t="shared" ref="BE41:BJ41" si="55">SUM(BE36:BE40)</f>
        <v>1447562.06</v>
      </c>
      <c r="BF41" s="256">
        <f t="shared" si="55"/>
        <v>1447562.06</v>
      </c>
      <c r="BG41" s="256">
        <f t="shared" si="55"/>
        <v>1447562.06</v>
      </c>
      <c r="BH41" s="256">
        <f t="shared" si="55"/>
        <v>1447562.06</v>
      </c>
      <c r="BI41" s="256">
        <f t="shared" si="55"/>
        <v>1447562.06</v>
      </c>
      <c r="BJ41" s="256">
        <f t="shared" si="55"/>
        <v>1447562.06</v>
      </c>
      <c r="BK41" s="256">
        <f t="shared" ref="BK41:BL41" si="56">SUM(BK36:BK40)</f>
        <v>1437917.3900000001</v>
      </c>
      <c r="BL41" s="256">
        <f t="shared" si="56"/>
        <v>1437917.3900000001</v>
      </c>
      <c r="BM41" s="256">
        <f t="shared" ref="BM41:BN41" si="57">SUM(BM36:BM40)</f>
        <v>1437917.3900000001</v>
      </c>
      <c r="BN41" s="256">
        <f t="shared" si="57"/>
        <v>1437917.3900000001</v>
      </c>
      <c r="BO41" s="256">
        <f t="shared" ref="BO41:BP41" si="58">SUM(BO36:BO40)</f>
        <v>1437917.3900000001</v>
      </c>
      <c r="BP41" s="256">
        <f t="shared" si="58"/>
        <v>1437917.3900000001</v>
      </c>
      <c r="BQ41" s="245"/>
    </row>
    <row r="42" spans="1:69" ht="13.5" thickTop="1" x14ac:dyDescent="0.2">
      <c r="AY42" s="3"/>
      <c r="AZ42" s="3"/>
      <c r="BA42" s="3"/>
      <c r="BB42" s="3"/>
      <c r="BC42" s="3"/>
      <c r="BD42" s="3"/>
      <c r="BQ42" s="245"/>
    </row>
    <row r="43" spans="1:69" x14ac:dyDescent="0.2">
      <c r="B43" t="s">
        <v>143</v>
      </c>
      <c r="AY43" s="3"/>
      <c r="AZ43" s="3"/>
      <c r="BA43" s="3"/>
      <c r="BB43" s="3"/>
      <c r="BC43" s="3"/>
      <c r="BD43" s="3"/>
      <c r="BE43">
        <f t="shared" ref="BE43:BJ43" si="59">BE34/BE41</f>
        <v>3.209760830565012</v>
      </c>
      <c r="BF43">
        <f t="shared" si="59"/>
        <v>2.8849229441672435</v>
      </c>
      <c r="BG43">
        <f t="shared" si="59"/>
        <v>3.5611903229903663</v>
      </c>
      <c r="BH43">
        <f t="shared" si="59"/>
        <v>3.8777328828305984</v>
      </c>
      <c r="BI43">
        <f t="shared" si="59"/>
        <v>3.6108752394353303</v>
      </c>
      <c r="BJ43">
        <f t="shared" si="59"/>
        <v>3.0299592129404109</v>
      </c>
      <c r="BK43">
        <f t="shared" ref="BK43" si="60">BK34/BK41</f>
        <v>3.4971661341407101</v>
      </c>
      <c r="BL43">
        <f>BL34/BL41</f>
        <v>3.4922159193025681</v>
      </c>
      <c r="BM43">
        <f>BM34/BM41</f>
        <v>3.6602672981095248</v>
      </c>
      <c r="BN43">
        <f>BN34/BN41</f>
        <v>3.5176624437374664</v>
      </c>
      <c r="BO43">
        <f>BO34/BO41</f>
        <v>2.2082617694748095</v>
      </c>
      <c r="BP43">
        <f>BP34/BP41</f>
        <v>2.3410552118018404</v>
      </c>
      <c r="BQ43" s="245"/>
    </row>
    <row r="44" spans="1:69" x14ac:dyDescent="0.2">
      <c r="AY44" s="3"/>
      <c r="AZ44" s="3"/>
      <c r="BA44" s="3"/>
      <c r="BB44" s="3"/>
      <c r="BC44" s="3"/>
      <c r="BD44" s="3"/>
    </row>
    <row r="45" spans="1:69" x14ac:dyDescent="0.2">
      <c r="BB45" s="3"/>
    </row>
    <row r="46" spans="1:69" x14ac:dyDescent="0.2">
      <c r="BB46" s="3"/>
    </row>
  </sheetData>
  <phoneticPr fontId="8" type="noConversion"/>
  <pageMargins left="0.17" right="0.18" top="1" bottom="1" header="0.5" footer="0.5"/>
  <pageSetup scale="85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L49"/>
  <sheetViews>
    <sheetView workbookViewId="0">
      <pane xSplit="16" ySplit="2" topLeftCell="V26" activePane="bottomRight" state="frozen"/>
      <selection activeCell="BS33" sqref="BS33"/>
      <selection pane="topRight" activeCell="BS33" sqref="BS33"/>
      <selection pane="bottomLeft" activeCell="BS33" sqref="BS33"/>
      <selection pane="bottomRight" activeCell="AL46" sqref="AL46"/>
    </sheetView>
  </sheetViews>
  <sheetFormatPr defaultRowHeight="12.75" x14ac:dyDescent="0.2"/>
  <cols>
    <col min="1" max="1" width="4" customWidth="1"/>
    <col min="2" max="2" width="31.28515625" bestFit="1" customWidth="1"/>
    <col min="3" max="3" width="12.5703125" style="4" hidden="1" customWidth="1"/>
    <col min="4" max="4" width="12" hidden="1" customWidth="1"/>
    <col min="5" max="5" width="12.7109375" hidden="1" customWidth="1"/>
    <col min="6" max="9" width="12.7109375" style="4" hidden="1" customWidth="1"/>
    <col min="10" max="21" width="12.7109375" hidden="1" customWidth="1"/>
    <col min="22" max="34" width="12.7109375" customWidth="1"/>
    <col min="35" max="35" width="2.140625" customWidth="1"/>
    <col min="36" max="36" width="22.28515625" bestFit="1" customWidth="1"/>
    <col min="38" max="38" width="13.42578125" bestFit="1" customWidth="1"/>
  </cols>
  <sheetData>
    <row r="1" spans="1:36" x14ac:dyDescent="0.2">
      <c r="A1" s="260"/>
    </row>
    <row r="2" spans="1:36" s="191" customFormat="1" x14ac:dyDescent="0.2">
      <c r="C2" s="191">
        <v>42322</v>
      </c>
      <c r="D2" s="191">
        <v>41974</v>
      </c>
      <c r="E2" s="192">
        <v>42019</v>
      </c>
      <c r="F2" s="192">
        <v>42050</v>
      </c>
      <c r="G2" s="192">
        <v>42078</v>
      </c>
      <c r="H2" s="192">
        <v>42109</v>
      </c>
      <c r="I2" s="192">
        <v>42139</v>
      </c>
      <c r="J2" s="192">
        <v>42170</v>
      </c>
      <c r="K2" s="192">
        <v>42200</v>
      </c>
      <c r="L2" s="192">
        <v>42231</v>
      </c>
      <c r="M2" s="192">
        <v>42262</v>
      </c>
      <c r="N2" s="192">
        <v>42292</v>
      </c>
      <c r="O2" s="192">
        <v>42323</v>
      </c>
      <c r="P2" s="192">
        <v>42353</v>
      </c>
      <c r="Q2" s="192">
        <v>42385</v>
      </c>
      <c r="R2" s="192">
        <v>42417</v>
      </c>
      <c r="S2" s="192">
        <v>42447</v>
      </c>
      <c r="T2" s="192">
        <v>42476</v>
      </c>
      <c r="U2" s="192">
        <v>42506</v>
      </c>
      <c r="V2" s="192">
        <v>42537</v>
      </c>
      <c r="W2" s="192">
        <v>42568</v>
      </c>
      <c r="X2" s="192">
        <v>42600</v>
      </c>
      <c r="Y2" s="192">
        <v>42632</v>
      </c>
      <c r="Z2" s="192">
        <v>42674</v>
      </c>
      <c r="AA2" s="192">
        <v>42675</v>
      </c>
      <c r="AB2" s="192">
        <v>42706</v>
      </c>
      <c r="AC2" s="192">
        <v>42737</v>
      </c>
      <c r="AD2" s="192">
        <v>42767</v>
      </c>
      <c r="AE2" s="192">
        <v>42795</v>
      </c>
      <c r="AF2" s="192">
        <v>42826</v>
      </c>
      <c r="AG2" s="192">
        <v>42856</v>
      </c>
      <c r="AH2" s="192">
        <v>42887</v>
      </c>
      <c r="AI2" s="192"/>
      <c r="AJ2" s="192" t="s">
        <v>296</v>
      </c>
    </row>
    <row r="3" spans="1:36" x14ac:dyDescent="0.2">
      <c r="A3" s="13" t="s">
        <v>201</v>
      </c>
      <c r="B3" s="13"/>
      <c r="C3" s="133"/>
      <c r="D3" s="13"/>
      <c r="E3" s="13"/>
      <c r="F3" s="133"/>
      <c r="G3" s="133"/>
      <c r="H3" s="133"/>
      <c r="I3" s="13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6" x14ac:dyDescent="0.2">
      <c r="A4" s="13"/>
      <c r="B4" s="13" t="s">
        <v>202</v>
      </c>
      <c r="C4" s="135">
        <v>584317</v>
      </c>
      <c r="D4" s="135">
        <v>1017524</v>
      </c>
      <c r="E4" s="135">
        <v>922844</v>
      </c>
      <c r="F4" s="218">
        <v>775515</v>
      </c>
      <c r="G4" s="218">
        <v>1162490</v>
      </c>
      <c r="H4" s="218">
        <v>717604</v>
      </c>
      <c r="I4" s="218">
        <v>845177</v>
      </c>
      <c r="J4" s="135">
        <v>1459026</v>
      </c>
      <c r="K4" s="135">
        <v>863346</v>
      </c>
      <c r="L4" s="135">
        <v>1128086</v>
      </c>
      <c r="M4" s="135">
        <v>1054847</v>
      </c>
      <c r="N4" s="135">
        <v>529094</v>
      </c>
      <c r="O4" s="135">
        <v>882233</v>
      </c>
      <c r="P4" s="135">
        <v>1406944</v>
      </c>
      <c r="Q4" s="135">
        <v>1067008</v>
      </c>
      <c r="R4" s="135">
        <v>651288</v>
      </c>
      <c r="S4" s="135">
        <v>928965</v>
      </c>
      <c r="T4" s="135">
        <v>938423</v>
      </c>
      <c r="U4" s="135">
        <v>954919</v>
      </c>
      <c r="V4" s="135">
        <v>935234</v>
      </c>
      <c r="W4" s="135">
        <v>874869</v>
      </c>
      <c r="X4" s="135">
        <v>1053939</v>
      </c>
      <c r="Y4" s="135">
        <v>886213</v>
      </c>
      <c r="Z4" s="135">
        <v>1093687</v>
      </c>
      <c r="AA4" s="135">
        <v>1203959</v>
      </c>
      <c r="AB4" s="135">
        <v>867302</v>
      </c>
      <c r="AC4" s="135">
        <v>1081383</v>
      </c>
      <c r="AD4" s="135">
        <v>1136153</v>
      </c>
      <c r="AE4" s="135">
        <v>1056749</v>
      </c>
      <c r="AF4" s="135">
        <v>1297474</v>
      </c>
      <c r="AG4" s="135">
        <v>697896</v>
      </c>
      <c r="AH4" s="135">
        <v>1454718</v>
      </c>
      <c r="AI4" s="135"/>
      <c r="AJ4" s="4">
        <f>SUM(W4:AI4)</f>
        <v>12704342</v>
      </c>
    </row>
    <row r="5" spans="1:36" x14ac:dyDescent="0.2">
      <c r="A5" s="13"/>
      <c r="B5" s="13" t="s">
        <v>203</v>
      </c>
      <c r="C5" s="133">
        <v>2782410</v>
      </c>
      <c r="D5" s="133">
        <v>2948315</v>
      </c>
      <c r="E5" s="133">
        <v>2918003</v>
      </c>
      <c r="F5" s="133">
        <v>2823315</v>
      </c>
      <c r="G5" s="133">
        <v>3459096</v>
      </c>
      <c r="H5" s="133">
        <v>3410308</v>
      </c>
      <c r="I5" s="133">
        <v>3438134</v>
      </c>
      <c r="J5" s="13">
        <v>4389949</v>
      </c>
      <c r="K5" s="133">
        <v>5267090</v>
      </c>
      <c r="L5" s="133">
        <v>5028869</v>
      </c>
      <c r="M5" s="133">
        <v>4357466</v>
      </c>
      <c r="N5" s="133">
        <v>3874893</v>
      </c>
      <c r="O5" s="133">
        <v>2875359</v>
      </c>
      <c r="P5" s="133">
        <v>3682923</v>
      </c>
      <c r="Q5" s="133">
        <v>3061073</v>
      </c>
      <c r="R5" s="133">
        <v>3078775</v>
      </c>
      <c r="S5" s="133">
        <v>3541538</v>
      </c>
      <c r="T5" s="133">
        <v>3424488</v>
      </c>
      <c r="U5" s="133">
        <v>3468974</v>
      </c>
      <c r="V5" s="133">
        <v>4483660</v>
      </c>
      <c r="W5" s="133">
        <v>5114762</v>
      </c>
      <c r="X5" s="133">
        <v>5013130</v>
      </c>
      <c r="Y5" s="133">
        <v>4955770</v>
      </c>
      <c r="Z5" s="133">
        <v>4449600</v>
      </c>
      <c r="AA5" s="133">
        <v>3775558</v>
      </c>
      <c r="AB5" s="133">
        <v>3522950</v>
      </c>
      <c r="AC5" s="133">
        <v>3828668</v>
      </c>
      <c r="AD5" s="133">
        <v>3495366</v>
      </c>
      <c r="AE5" s="133">
        <v>4412011</v>
      </c>
      <c r="AF5" s="133">
        <v>3577868</v>
      </c>
      <c r="AG5" s="133">
        <v>4513014</v>
      </c>
      <c r="AH5" s="133">
        <v>5058344</v>
      </c>
      <c r="AI5" s="133"/>
      <c r="AJ5" s="4">
        <f>SUM(W5:AI5)</f>
        <v>51717041</v>
      </c>
    </row>
    <row r="6" spans="1:36" x14ac:dyDescent="0.2">
      <c r="A6" s="13"/>
      <c r="B6" s="13" t="s">
        <v>204</v>
      </c>
      <c r="C6" s="133">
        <v>299640</v>
      </c>
      <c r="D6" s="133">
        <v>296961</v>
      </c>
      <c r="E6" s="133">
        <v>285778</v>
      </c>
      <c r="F6" s="133">
        <v>294298</v>
      </c>
      <c r="G6" s="133">
        <v>300429</v>
      </c>
      <c r="H6" s="133">
        <v>269974</v>
      </c>
      <c r="I6" s="133">
        <v>292912</v>
      </c>
      <c r="J6" s="13">
        <v>431735</v>
      </c>
      <c r="K6" s="133">
        <v>214624</v>
      </c>
      <c r="L6" s="133">
        <v>328907</v>
      </c>
      <c r="M6" s="133">
        <v>358452</v>
      </c>
      <c r="N6" s="133">
        <v>389422</v>
      </c>
      <c r="O6" s="133">
        <v>402271</v>
      </c>
      <c r="P6" s="133">
        <v>318068</v>
      </c>
      <c r="Q6" s="133">
        <v>317385</v>
      </c>
      <c r="R6" s="133">
        <v>302405</v>
      </c>
      <c r="S6" s="133">
        <v>331734</v>
      </c>
      <c r="T6" s="133">
        <v>345546</v>
      </c>
      <c r="U6" s="133">
        <v>326933</v>
      </c>
      <c r="V6" s="133">
        <v>295588</v>
      </c>
      <c r="W6" s="133">
        <v>372189</v>
      </c>
      <c r="X6" s="133">
        <v>332737</v>
      </c>
      <c r="Y6" s="133">
        <v>291838</v>
      </c>
      <c r="Z6" s="133">
        <v>323889</v>
      </c>
      <c r="AA6" s="133">
        <v>446608</v>
      </c>
      <c r="AB6" s="133">
        <v>405348</v>
      </c>
      <c r="AC6" s="133">
        <v>335565</v>
      </c>
      <c r="AD6" s="133">
        <v>327426</v>
      </c>
      <c r="AE6" s="133">
        <v>306114</v>
      </c>
      <c r="AF6" s="133">
        <v>302179</v>
      </c>
      <c r="AG6" s="133">
        <v>348844</v>
      </c>
      <c r="AH6" s="133">
        <v>388680</v>
      </c>
      <c r="AI6" s="133"/>
      <c r="AJ6" s="4">
        <f>SUM(W6:AI6)</f>
        <v>4181417</v>
      </c>
    </row>
    <row r="7" spans="1:36" x14ac:dyDescent="0.2">
      <c r="A7" s="13"/>
      <c r="B7" s="13" t="s">
        <v>205</v>
      </c>
      <c r="C7" s="133">
        <v>531095</v>
      </c>
      <c r="D7" s="133">
        <v>620212</v>
      </c>
      <c r="E7" s="133">
        <v>603790</v>
      </c>
      <c r="F7" s="133">
        <v>603858</v>
      </c>
      <c r="G7" s="133">
        <v>629065</v>
      </c>
      <c r="H7" s="133">
        <v>607756</v>
      </c>
      <c r="I7" s="133">
        <v>607043</v>
      </c>
      <c r="J7" s="13">
        <v>764517</v>
      </c>
      <c r="K7" s="133">
        <v>699628</v>
      </c>
      <c r="L7" s="133">
        <v>710023</v>
      </c>
      <c r="M7" s="133">
        <v>667813</v>
      </c>
      <c r="N7" s="133">
        <v>688034</v>
      </c>
      <c r="O7" s="133">
        <v>615351</v>
      </c>
      <c r="P7" s="133">
        <v>704550</v>
      </c>
      <c r="Q7" s="133">
        <v>611872</v>
      </c>
      <c r="R7" s="133">
        <v>571343</v>
      </c>
      <c r="S7" s="133">
        <v>599503</v>
      </c>
      <c r="T7" s="133">
        <v>616025</v>
      </c>
      <c r="U7" s="133">
        <v>614932</v>
      </c>
      <c r="V7" s="133">
        <v>651223</v>
      </c>
      <c r="W7" s="133">
        <v>748696</v>
      </c>
      <c r="X7" s="133">
        <v>791100</v>
      </c>
      <c r="Y7" s="133">
        <v>725768</v>
      </c>
      <c r="Z7" s="133">
        <v>782079</v>
      </c>
      <c r="AA7" s="133">
        <v>599552</v>
      </c>
      <c r="AB7" s="133">
        <v>721886</v>
      </c>
      <c r="AC7" s="133">
        <v>684514</v>
      </c>
      <c r="AD7" s="133">
        <v>614698</v>
      </c>
      <c r="AE7" s="133">
        <v>786549</v>
      </c>
      <c r="AF7" s="133">
        <v>666910</v>
      </c>
      <c r="AG7" s="133">
        <v>653996</v>
      </c>
      <c r="AH7" s="133">
        <v>761328</v>
      </c>
      <c r="AI7" s="133"/>
      <c r="AJ7" s="4">
        <f>SUM(W7:AI7)</f>
        <v>8537076</v>
      </c>
    </row>
    <row r="8" spans="1:36" x14ac:dyDescent="0.2">
      <c r="A8" s="13"/>
      <c r="B8" s="13" t="s">
        <v>241</v>
      </c>
      <c r="C8" s="136">
        <v>115807</v>
      </c>
      <c r="D8" s="136">
        <v>147095</v>
      </c>
      <c r="E8" s="136">
        <v>164846</v>
      </c>
      <c r="F8" s="133">
        <v>189300</v>
      </c>
      <c r="G8" s="133">
        <v>203607</v>
      </c>
      <c r="H8" s="133">
        <v>240659</v>
      </c>
      <c r="I8" s="133">
        <v>369976</v>
      </c>
      <c r="J8" s="13">
        <v>287207</v>
      </c>
      <c r="K8" s="136">
        <v>361158</v>
      </c>
      <c r="L8" s="136">
        <v>672478</v>
      </c>
      <c r="M8" s="136">
        <v>375610</v>
      </c>
      <c r="N8" s="136">
        <v>254824</v>
      </c>
      <c r="O8" s="136">
        <v>208469</v>
      </c>
      <c r="P8" s="136">
        <v>312461</v>
      </c>
      <c r="Q8" s="136">
        <v>250893</v>
      </c>
      <c r="R8" s="136">
        <v>236685</v>
      </c>
      <c r="S8" s="136">
        <v>271787</v>
      </c>
      <c r="T8" s="136">
        <v>227613</v>
      </c>
      <c r="U8" s="136">
        <v>270936</v>
      </c>
      <c r="V8" s="136">
        <v>341277</v>
      </c>
      <c r="W8" s="136">
        <v>374509</v>
      </c>
      <c r="X8" s="136">
        <v>345090</v>
      </c>
      <c r="Y8" s="136">
        <v>399605</v>
      </c>
      <c r="Z8" s="136">
        <v>360729</v>
      </c>
      <c r="AA8" s="136">
        <v>257555</v>
      </c>
      <c r="AB8" s="136">
        <v>221574</v>
      </c>
      <c r="AC8" s="136">
        <v>306177</v>
      </c>
      <c r="AD8" s="136">
        <v>182728</v>
      </c>
      <c r="AE8" s="136">
        <v>340207</v>
      </c>
      <c r="AF8" s="136">
        <v>253368</v>
      </c>
      <c r="AG8" s="136">
        <v>268482</v>
      </c>
      <c r="AH8" s="136">
        <v>364298</v>
      </c>
      <c r="AI8" s="136"/>
      <c r="AJ8" s="4">
        <f>SUM(W8:AI8)</f>
        <v>3674322</v>
      </c>
    </row>
    <row r="9" spans="1:36" x14ac:dyDescent="0.2">
      <c r="A9" s="13" t="s">
        <v>1</v>
      </c>
      <c r="B9" s="13"/>
      <c r="C9" s="145">
        <f>SUM(C4:C8)</f>
        <v>4313269</v>
      </c>
      <c r="D9" s="145">
        <f>SUM(D4:D8)-1</f>
        <v>5030106</v>
      </c>
      <c r="E9" s="145">
        <f t="shared" ref="E9:I9" si="0">SUM(E4:E8)</f>
        <v>4895261</v>
      </c>
      <c r="F9" s="145">
        <f t="shared" si="0"/>
        <v>4686286</v>
      </c>
      <c r="G9" s="145">
        <f>SUM(G4:G8)-1</f>
        <v>5754686</v>
      </c>
      <c r="H9" s="145">
        <f>SUM(H4:H8)-1</f>
        <v>5246300</v>
      </c>
      <c r="I9" s="145">
        <f t="shared" si="0"/>
        <v>5553242</v>
      </c>
      <c r="J9" s="145">
        <f>SUM(J4:J8)-1</f>
        <v>7332433</v>
      </c>
      <c r="K9" s="145">
        <f>SUM(K4:K8)</f>
        <v>7405846</v>
      </c>
      <c r="L9" s="145">
        <f>SUM(L4:L8)+1</f>
        <v>7868364</v>
      </c>
      <c r="M9" s="145">
        <f>SUM(M4:M8)</f>
        <v>6814188</v>
      </c>
      <c r="N9" s="145">
        <f>SUM(N4:N8)-1</f>
        <v>5736266</v>
      </c>
      <c r="O9" s="145">
        <f>SUM(O4:O8)-1</f>
        <v>4983682</v>
      </c>
      <c r="P9" s="145">
        <f t="shared" ref="P9:W9" si="1">SUM(P4:P8)</f>
        <v>6424946</v>
      </c>
      <c r="Q9" s="145">
        <f t="shared" si="1"/>
        <v>5308231</v>
      </c>
      <c r="R9" s="145">
        <f t="shared" si="1"/>
        <v>4840496</v>
      </c>
      <c r="S9" s="145">
        <f t="shared" si="1"/>
        <v>5673527</v>
      </c>
      <c r="T9" s="145">
        <f t="shared" si="1"/>
        <v>5552095</v>
      </c>
      <c r="U9" s="145">
        <f t="shared" si="1"/>
        <v>5636694</v>
      </c>
      <c r="V9" s="145">
        <f t="shared" si="1"/>
        <v>6706982</v>
      </c>
      <c r="W9" s="145">
        <f t="shared" si="1"/>
        <v>7485025</v>
      </c>
      <c r="X9" s="145">
        <f t="shared" ref="X9:Z9" si="2">SUM(X4:X8)</f>
        <v>7535996</v>
      </c>
      <c r="Y9" s="145">
        <f t="shared" si="2"/>
        <v>7259194</v>
      </c>
      <c r="Z9" s="145">
        <f t="shared" si="2"/>
        <v>7009984</v>
      </c>
      <c r="AA9" s="145">
        <f t="shared" ref="AA9:AH9" si="3">SUM(AA4:AA8)</f>
        <v>6283232</v>
      </c>
      <c r="AB9" s="145">
        <f t="shared" si="3"/>
        <v>5739060</v>
      </c>
      <c r="AC9" s="145">
        <f t="shared" si="3"/>
        <v>6236307</v>
      </c>
      <c r="AD9" s="145">
        <f t="shared" si="3"/>
        <v>5756371</v>
      </c>
      <c r="AE9" s="145">
        <f t="shared" si="3"/>
        <v>6901630</v>
      </c>
      <c r="AF9" s="145">
        <f t="shared" si="3"/>
        <v>6097799</v>
      </c>
      <c r="AG9" s="145">
        <f t="shared" si="3"/>
        <v>6482232</v>
      </c>
      <c r="AH9" s="145">
        <f t="shared" si="3"/>
        <v>8027368</v>
      </c>
      <c r="AI9" s="145"/>
      <c r="AJ9" s="226">
        <f>SUM(AJ4:AJ8)</f>
        <v>80814198</v>
      </c>
    </row>
    <row r="10" spans="1:36" x14ac:dyDescent="0.2">
      <c r="A10" s="13"/>
      <c r="B10" s="13"/>
      <c r="C10" s="133"/>
      <c r="D10" s="133"/>
      <c r="E10" s="133"/>
      <c r="F10" s="133"/>
      <c r="G10" s="133"/>
      <c r="H10" s="133"/>
      <c r="I10" s="133"/>
      <c r="J10" s="1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4"/>
    </row>
    <row r="11" spans="1:36" x14ac:dyDescent="0.2">
      <c r="A11" s="13"/>
      <c r="B11" s="13" t="s">
        <v>207</v>
      </c>
      <c r="C11" s="133">
        <v>-1436895</v>
      </c>
      <c r="D11" s="133">
        <v>-1985750</v>
      </c>
      <c r="E11" s="133">
        <v>-1737817</v>
      </c>
      <c r="F11" s="133">
        <v>-1635577</v>
      </c>
      <c r="G11" s="133">
        <v>-1928238</v>
      </c>
      <c r="H11" s="133">
        <v>-1450056</v>
      </c>
      <c r="I11" s="133">
        <v>-2023275</v>
      </c>
      <c r="J11" s="13">
        <v>-2581016</v>
      </c>
      <c r="K11" s="133">
        <v>-2582473</v>
      </c>
      <c r="L11" s="133">
        <v>-2812832</v>
      </c>
      <c r="M11" s="133">
        <v>-2724808</v>
      </c>
      <c r="N11" s="133">
        <v>-2076315</v>
      </c>
      <c r="O11" s="133">
        <v>-1091851</v>
      </c>
      <c r="P11" s="133">
        <v>-1959160</v>
      </c>
      <c r="Q11" s="133">
        <v>-2382513</v>
      </c>
      <c r="R11" s="133">
        <v>-1586700</v>
      </c>
      <c r="S11" s="133">
        <v>-2095489</v>
      </c>
      <c r="T11" s="133">
        <v>-1981030</v>
      </c>
      <c r="U11" s="133">
        <v>-1922657</v>
      </c>
      <c r="V11" s="133">
        <v>-2294316</v>
      </c>
      <c r="W11" s="133">
        <v>-2523157</v>
      </c>
      <c r="X11" s="133">
        <v>-2604310</v>
      </c>
      <c r="Y11" s="133">
        <v>-2659153</v>
      </c>
      <c r="Z11" s="133">
        <v>-2468702</v>
      </c>
      <c r="AA11" s="133">
        <v>-2382750</v>
      </c>
      <c r="AB11" s="133">
        <v>-3761204</v>
      </c>
      <c r="AC11" s="133">
        <v>-2261135</v>
      </c>
      <c r="AD11" s="133">
        <v>-2118061</v>
      </c>
      <c r="AE11" s="133">
        <v>-2395355</v>
      </c>
      <c r="AF11" s="133">
        <v>-2370225</v>
      </c>
      <c r="AG11" s="133">
        <v>-2385882</v>
      </c>
      <c r="AH11" s="133">
        <v>-3501212</v>
      </c>
      <c r="AI11" s="133"/>
      <c r="AJ11" s="4">
        <f>SUM(W11:AI11)</f>
        <v>-31431146</v>
      </c>
    </row>
    <row r="12" spans="1:36" x14ac:dyDescent="0.2">
      <c r="A12" s="13"/>
      <c r="B12" s="13" t="s">
        <v>206</v>
      </c>
      <c r="C12" s="136">
        <v>-301928</v>
      </c>
      <c r="D12" s="136">
        <v>-186442</v>
      </c>
      <c r="E12" s="136">
        <v>-347563</v>
      </c>
      <c r="F12" s="133">
        <v>-328213</v>
      </c>
      <c r="G12" s="133">
        <v>-398027</v>
      </c>
      <c r="H12" s="133">
        <v>-308968</v>
      </c>
      <c r="I12" s="133">
        <v>-374767</v>
      </c>
      <c r="J12" s="13">
        <v>-513270</v>
      </c>
      <c r="K12" s="136">
        <v>-604283</v>
      </c>
      <c r="L12" s="136">
        <v>-581066</v>
      </c>
      <c r="M12" s="136">
        <v>-710898</v>
      </c>
      <c r="N12" s="136">
        <v>-411445</v>
      </c>
      <c r="O12" s="136">
        <v>-218239</v>
      </c>
      <c r="P12" s="136">
        <v>-555778</v>
      </c>
      <c r="Q12" s="136">
        <v>-321079</v>
      </c>
      <c r="R12" s="136">
        <v>-422026</v>
      </c>
      <c r="S12" s="136">
        <v>-482532</v>
      </c>
      <c r="T12" s="136">
        <v>-365298</v>
      </c>
      <c r="U12" s="136">
        <v>-398158</v>
      </c>
      <c r="V12" s="136">
        <v>-574726</v>
      </c>
      <c r="W12" s="136">
        <v>-875399</v>
      </c>
      <c r="X12" s="136">
        <v>-668751</v>
      </c>
      <c r="Y12" s="136">
        <v>-500568</v>
      </c>
      <c r="Z12" s="136">
        <v>-824448</v>
      </c>
      <c r="AA12" s="136">
        <v>-457629</v>
      </c>
      <c r="AB12" s="136">
        <v>-479116</v>
      </c>
      <c r="AC12" s="136">
        <v>-508546</v>
      </c>
      <c r="AD12" s="136">
        <v>-448604</v>
      </c>
      <c r="AE12" s="136">
        <v>-878783</v>
      </c>
      <c r="AF12" s="136">
        <v>-401815</v>
      </c>
      <c r="AG12" s="136">
        <v>-733368</v>
      </c>
      <c r="AH12" s="136">
        <v>-448417</v>
      </c>
      <c r="AI12" s="136"/>
      <c r="AJ12" s="4">
        <f>SUM(W12:AI12)</f>
        <v>-7225444</v>
      </c>
    </row>
    <row r="13" spans="1:36" x14ac:dyDescent="0.2">
      <c r="A13" s="13"/>
      <c r="B13" s="13" t="s">
        <v>208</v>
      </c>
      <c r="C13" s="136">
        <f>SUM(C11:C12)</f>
        <v>-1738823</v>
      </c>
      <c r="D13" s="136">
        <f>SUM(D11:D12)</f>
        <v>-2172192</v>
      </c>
      <c r="E13" s="136">
        <f t="shared" ref="E13:J13" si="4">SUM(E11:E12)</f>
        <v>-2085380</v>
      </c>
      <c r="F13" s="136">
        <f t="shared" si="4"/>
        <v>-1963790</v>
      </c>
      <c r="G13" s="136">
        <f t="shared" si="4"/>
        <v>-2326265</v>
      </c>
      <c r="H13" s="136">
        <f t="shared" si="4"/>
        <v>-1759024</v>
      </c>
      <c r="I13" s="136">
        <f t="shared" si="4"/>
        <v>-2398042</v>
      </c>
      <c r="J13" s="136">
        <f t="shared" si="4"/>
        <v>-3094286</v>
      </c>
      <c r="K13" s="136">
        <f>SUM(K11:K12)</f>
        <v>-3186756</v>
      </c>
      <c r="L13" s="136">
        <f>SUM(L11:L12)+1</f>
        <v>-3393897</v>
      </c>
      <c r="M13" s="136">
        <f>SUM(M11:M12)</f>
        <v>-3435706</v>
      </c>
      <c r="N13" s="136">
        <f>SUM(N11:N12)</f>
        <v>-2487760</v>
      </c>
      <c r="O13" s="136">
        <f t="shared" ref="O13" si="5">SUM(O11:O12)</f>
        <v>-1310090</v>
      </c>
      <c r="P13" s="136">
        <f>SUM(P11:P12)+1</f>
        <v>-2514937</v>
      </c>
      <c r="Q13" s="136">
        <f t="shared" ref="Q13:U13" si="6">SUM(Q11:Q12)</f>
        <v>-2703592</v>
      </c>
      <c r="R13" s="136">
        <f t="shared" si="6"/>
        <v>-2008726</v>
      </c>
      <c r="S13" s="136">
        <f t="shared" si="6"/>
        <v>-2578021</v>
      </c>
      <c r="T13" s="136">
        <f t="shared" si="6"/>
        <v>-2346328</v>
      </c>
      <c r="U13" s="136">
        <f t="shared" si="6"/>
        <v>-2320815</v>
      </c>
      <c r="V13" s="136">
        <f t="shared" ref="V13:W13" si="7">SUM(V11:V12)</f>
        <v>-2869042</v>
      </c>
      <c r="W13" s="136">
        <f t="shared" si="7"/>
        <v>-3398556</v>
      </c>
      <c r="X13" s="136">
        <f t="shared" ref="X13:Y13" si="8">SUM(X11:X12)</f>
        <v>-3273061</v>
      </c>
      <c r="Y13" s="136">
        <f t="shared" si="8"/>
        <v>-3159721</v>
      </c>
      <c r="Z13" s="136">
        <f t="shared" ref="Z13" si="9">SUM(Z11:Z12)</f>
        <v>-3293150</v>
      </c>
      <c r="AA13" s="136">
        <f t="shared" ref="AA13:AF13" si="10">SUM(AA11:AA12)</f>
        <v>-2840379</v>
      </c>
      <c r="AB13" s="136">
        <f t="shared" si="10"/>
        <v>-4240320</v>
      </c>
      <c r="AC13" s="136">
        <f t="shared" si="10"/>
        <v>-2769681</v>
      </c>
      <c r="AD13" s="136">
        <f t="shared" si="10"/>
        <v>-2566665</v>
      </c>
      <c r="AE13" s="136">
        <f t="shared" si="10"/>
        <v>-3274138</v>
      </c>
      <c r="AF13" s="136">
        <f t="shared" si="10"/>
        <v>-2772040</v>
      </c>
      <c r="AG13" s="136">
        <f>SUM(AG11:AG12)</f>
        <v>-3119250</v>
      </c>
      <c r="AH13" s="136">
        <f>SUM(AH11:AH12)</f>
        <v>-3949629</v>
      </c>
      <c r="AI13" s="136"/>
      <c r="AJ13" s="227">
        <f>SUM(AJ11:AJ12)</f>
        <v>-38656590</v>
      </c>
    </row>
    <row r="14" spans="1:36" x14ac:dyDescent="0.2">
      <c r="A14" s="13"/>
      <c r="B14" s="13"/>
      <c r="C14" s="167">
        <f t="shared" ref="C14:P14" si="11">C13/C9</f>
        <v>-0.40313344704445747</v>
      </c>
      <c r="D14" s="167">
        <f t="shared" si="11"/>
        <v>-0.43183821573541392</v>
      </c>
      <c r="E14" s="167">
        <f t="shared" si="11"/>
        <v>-0.42599975772486903</v>
      </c>
      <c r="F14" s="167">
        <f t="shared" si="11"/>
        <v>-0.41905039513166714</v>
      </c>
      <c r="G14" s="167">
        <f t="shared" si="11"/>
        <v>-0.4042383893751979</v>
      </c>
      <c r="H14" s="167">
        <f t="shared" si="11"/>
        <v>-0.33528848903036423</v>
      </c>
      <c r="I14" s="167">
        <f t="shared" si="11"/>
        <v>-0.43182739019837418</v>
      </c>
      <c r="J14" s="167">
        <f t="shared" si="11"/>
        <v>-0.42199990098784401</v>
      </c>
      <c r="K14" s="167">
        <f t="shared" si="11"/>
        <v>-0.43030276351952229</v>
      </c>
      <c r="L14" s="167">
        <f t="shared" si="11"/>
        <v>-0.43133451884025703</v>
      </c>
      <c r="M14" s="167">
        <f t="shared" si="11"/>
        <v>-0.50419888620625086</v>
      </c>
      <c r="N14" s="167">
        <f t="shared" si="11"/>
        <v>-0.43368979053621293</v>
      </c>
      <c r="O14" s="167">
        <f t="shared" si="11"/>
        <v>-0.26287592185857767</v>
      </c>
      <c r="P14" s="167">
        <f t="shared" si="11"/>
        <v>-0.39143317313484033</v>
      </c>
      <c r="Q14" s="167">
        <f t="shared" ref="Q14:R14" si="12">Q13/Q9</f>
        <v>-0.50932071343541752</v>
      </c>
      <c r="R14" s="167">
        <f t="shared" si="12"/>
        <v>-0.41498350582254379</v>
      </c>
      <c r="S14" s="167">
        <f t="shared" ref="S14:X14" si="13">S13/S9</f>
        <v>-0.45439477066029649</v>
      </c>
      <c r="T14" s="167">
        <f t="shared" si="13"/>
        <v>-0.42260227895956393</v>
      </c>
      <c r="U14" s="167">
        <f t="shared" si="13"/>
        <v>-0.41173336711199865</v>
      </c>
      <c r="V14" s="167">
        <f t="shared" si="13"/>
        <v>-0.42776944980618703</v>
      </c>
      <c r="W14" s="167">
        <f t="shared" si="13"/>
        <v>-0.45404738127127164</v>
      </c>
      <c r="X14" s="167">
        <f t="shared" si="13"/>
        <v>-0.43432361163673655</v>
      </c>
      <c r="Y14" s="167">
        <f t="shared" ref="Y14:Z14" si="14">Y13/Y9</f>
        <v>-0.43527160177837926</v>
      </c>
      <c r="Z14" s="167">
        <f t="shared" si="14"/>
        <v>-0.46977995955482921</v>
      </c>
      <c r="AA14" s="167">
        <f t="shared" ref="AA14:AF14" si="15">AA13/AA9</f>
        <v>-0.45205699869111948</v>
      </c>
      <c r="AB14" s="167">
        <f t="shared" si="15"/>
        <v>-0.7388527041013685</v>
      </c>
      <c r="AC14" s="167">
        <f t="shared" si="15"/>
        <v>-0.44412197795907099</v>
      </c>
      <c r="AD14" s="167">
        <f t="shared" si="15"/>
        <v>-0.44588248394691726</v>
      </c>
      <c r="AE14" s="167">
        <f t="shared" si="15"/>
        <v>-0.47440068505555932</v>
      </c>
      <c r="AF14" s="167">
        <f t="shared" si="15"/>
        <v>-0.45459681435875471</v>
      </c>
      <c r="AG14" s="167">
        <f t="shared" ref="AG14:AH14" si="16">AG13/AG9</f>
        <v>-0.48119999407611452</v>
      </c>
      <c r="AH14" s="167">
        <f t="shared" si="16"/>
        <v>-0.49202042313246386</v>
      </c>
      <c r="AI14" s="167"/>
      <c r="AJ14" s="244">
        <f>AJ13/AJ9</f>
        <v>-0.47833909086123705</v>
      </c>
    </row>
    <row r="15" spans="1:36" x14ac:dyDescent="0.2">
      <c r="A15" s="13" t="s">
        <v>2</v>
      </c>
      <c r="B15" s="13"/>
      <c r="C15" s="136">
        <f t="shared" ref="C15" si="17">C9+C13</f>
        <v>2574446</v>
      </c>
      <c r="D15" s="136">
        <f>D9+D13+1</f>
        <v>2857915</v>
      </c>
      <c r="E15" s="136">
        <f t="shared" ref="E15:J15" si="18">E9+E13</f>
        <v>2809881</v>
      </c>
      <c r="F15" s="136">
        <f t="shared" si="18"/>
        <v>2722496</v>
      </c>
      <c r="G15" s="136">
        <f>G9+G13-1</f>
        <v>3428420</v>
      </c>
      <c r="H15" s="136">
        <f t="shared" si="18"/>
        <v>3487276</v>
      </c>
      <c r="I15" s="136">
        <f t="shared" si="18"/>
        <v>3155200</v>
      </c>
      <c r="J15" s="136">
        <f t="shared" si="18"/>
        <v>4238147</v>
      </c>
      <c r="K15" s="136">
        <f>K9+K13</f>
        <v>4219090</v>
      </c>
      <c r="L15" s="136">
        <f>L9+L13-1</f>
        <v>4474466</v>
      </c>
      <c r="M15" s="136">
        <f>M9+M13</f>
        <v>3378482</v>
      </c>
      <c r="N15" s="136">
        <f>N9+N13</f>
        <v>3248506</v>
      </c>
      <c r="O15" s="136">
        <f>O9+O13+1</f>
        <v>3673593</v>
      </c>
      <c r="P15" s="136">
        <f t="shared" ref="P15:Q15" si="19">P9+P13</f>
        <v>3910009</v>
      </c>
      <c r="Q15" s="136">
        <f t="shared" si="19"/>
        <v>2604639</v>
      </c>
      <c r="R15" s="136">
        <f t="shared" ref="R15:S15" si="20">R9+R13</f>
        <v>2831770</v>
      </c>
      <c r="S15" s="136">
        <f t="shared" si="20"/>
        <v>3095506</v>
      </c>
      <c r="T15" s="136">
        <f t="shared" ref="T15:U15" si="21">T9+T13</f>
        <v>3205767</v>
      </c>
      <c r="U15" s="136">
        <f t="shared" si="21"/>
        <v>3315879</v>
      </c>
      <c r="V15" s="136">
        <f t="shared" ref="V15:W15" si="22">V9+V13</f>
        <v>3837940</v>
      </c>
      <c r="W15" s="136">
        <f t="shared" si="22"/>
        <v>4086469</v>
      </c>
      <c r="X15" s="136">
        <f t="shared" ref="X15:Y15" si="23">X9+X13</f>
        <v>4262935</v>
      </c>
      <c r="Y15" s="136">
        <f t="shared" si="23"/>
        <v>4099473</v>
      </c>
      <c r="Z15" s="136">
        <f t="shared" ref="Z15" si="24">Z9+Z13</f>
        <v>3716834</v>
      </c>
      <c r="AA15" s="136">
        <f t="shared" ref="AA15:AF15" si="25">AA9+AA13</f>
        <v>3442853</v>
      </c>
      <c r="AB15" s="136">
        <f t="shared" si="25"/>
        <v>1498740</v>
      </c>
      <c r="AC15" s="136">
        <f t="shared" si="25"/>
        <v>3466626</v>
      </c>
      <c r="AD15" s="136">
        <f t="shared" si="25"/>
        <v>3189706</v>
      </c>
      <c r="AE15" s="136">
        <f t="shared" si="25"/>
        <v>3627492</v>
      </c>
      <c r="AF15" s="136">
        <f t="shared" si="25"/>
        <v>3325759</v>
      </c>
      <c r="AG15" s="136">
        <f t="shared" ref="AG15:AH15" si="26">AG9+AG13</f>
        <v>3362982</v>
      </c>
      <c r="AH15" s="136">
        <f t="shared" si="26"/>
        <v>4077739</v>
      </c>
      <c r="AI15" s="136"/>
      <c r="AJ15" s="227">
        <f>AJ9+AJ13</f>
        <v>42157608</v>
      </c>
    </row>
    <row r="16" spans="1:36" x14ac:dyDescent="0.2">
      <c r="A16" s="13"/>
      <c r="B16" s="13"/>
      <c r="C16" s="136"/>
      <c r="D16" s="136"/>
      <c r="E16" s="136"/>
      <c r="F16" s="133"/>
      <c r="G16" s="133"/>
      <c r="H16" s="133"/>
      <c r="I16" s="133"/>
      <c r="J16" s="13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4"/>
    </row>
    <row r="17" spans="1:38" x14ac:dyDescent="0.2">
      <c r="A17" s="13"/>
      <c r="B17" s="13" t="s">
        <v>220</v>
      </c>
      <c r="C17" s="136">
        <v>56702</v>
      </c>
      <c r="D17" s="136">
        <v>775052</v>
      </c>
      <c r="E17" s="136">
        <v>7379</v>
      </c>
      <c r="F17" s="133">
        <v>13403</v>
      </c>
      <c r="G17" s="133">
        <v>40546</v>
      </c>
      <c r="H17" s="133">
        <v>47331</v>
      </c>
      <c r="I17" s="133">
        <v>74521</v>
      </c>
      <c r="J17" s="13">
        <v>27756</v>
      </c>
      <c r="K17" s="136">
        <v>105550</v>
      </c>
      <c r="L17" s="136">
        <v>142525</v>
      </c>
      <c r="M17" s="136">
        <v>98578</v>
      </c>
      <c r="N17" s="136">
        <v>110939</v>
      </c>
      <c r="O17" s="136">
        <v>171672</v>
      </c>
      <c r="P17" s="136">
        <v>130868</v>
      </c>
      <c r="Q17" s="136">
        <v>48465</v>
      </c>
      <c r="R17" s="136">
        <v>87475</v>
      </c>
      <c r="S17" s="136">
        <v>124170</v>
      </c>
      <c r="T17" s="136">
        <v>48160</v>
      </c>
      <c r="U17" s="136">
        <v>84201</v>
      </c>
      <c r="V17" s="136">
        <v>34564</v>
      </c>
      <c r="W17" s="136">
        <v>93797</v>
      </c>
      <c r="X17" s="136">
        <v>95705</v>
      </c>
      <c r="Y17" s="136">
        <v>89698</v>
      </c>
      <c r="Z17" s="136">
        <v>61877</v>
      </c>
      <c r="AA17" s="136">
        <v>129046</v>
      </c>
      <c r="AB17" s="136">
        <v>113050</v>
      </c>
      <c r="AC17" s="136">
        <v>101298</v>
      </c>
      <c r="AD17" s="136">
        <v>92643</v>
      </c>
      <c r="AE17" s="136">
        <v>95549</v>
      </c>
      <c r="AF17" s="136">
        <v>70593</v>
      </c>
      <c r="AG17" s="136">
        <v>89759</v>
      </c>
      <c r="AH17" s="136">
        <v>98875</v>
      </c>
      <c r="AI17" s="136"/>
      <c r="AJ17" s="4">
        <f>SUM(W17:AI17)</f>
        <v>1131890</v>
      </c>
    </row>
    <row r="18" spans="1:38" x14ac:dyDescent="0.2">
      <c r="A18" s="13"/>
      <c r="B18" s="13"/>
      <c r="C18" s="136"/>
      <c r="D18" s="136"/>
      <c r="E18" s="136"/>
      <c r="F18" s="133"/>
      <c r="G18" s="133"/>
      <c r="H18" s="133"/>
      <c r="I18" s="133"/>
      <c r="J18" s="13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4"/>
    </row>
    <row r="19" spans="1:38" x14ac:dyDescent="0.2">
      <c r="A19" s="13" t="s">
        <v>3</v>
      </c>
      <c r="B19" s="13"/>
      <c r="C19" s="136">
        <f>C15+C17</f>
        <v>2631148</v>
      </c>
      <c r="D19" s="136">
        <f>D15+D17-1</f>
        <v>3632966</v>
      </c>
      <c r="E19" s="136">
        <f>E15+E17-1</f>
        <v>2817259</v>
      </c>
      <c r="F19" s="136">
        <f t="shared" ref="F19:J19" si="27">F15+F17</f>
        <v>2735899</v>
      </c>
      <c r="G19" s="136">
        <f t="shared" si="27"/>
        <v>3468966</v>
      </c>
      <c r="H19" s="136">
        <f t="shared" si="27"/>
        <v>3534607</v>
      </c>
      <c r="I19" s="136">
        <f>I15+I17+1</f>
        <v>3229722</v>
      </c>
      <c r="J19" s="136">
        <f t="shared" si="27"/>
        <v>4265903</v>
      </c>
      <c r="K19" s="136">
        <f>K15+K17</f>
        <v>4324640</v>
      </c>
      <c r="L19" s="136">
        <f>L15+L17</f>
        <v>4616991</v>
      </c>
      <c r="M19" s="136">
        <f>M15+M17</f>
        <v>3477060</v>
      </c>
      <c r="N19" s="136">
        <f>N15+N17</f>
        <v>3359445</v>
      </c>
      <c r="O19" s="136">
        <f>O15+O17-1</f>
        <v>3845264</v>
      </c>
      <c r="P19" s="136">
        <f>P15+P17-1</f>
        <v>4040876</v>
      </c>
      <c r="Q19" s="136">
        <f t="shared" ref="Q19:W19" si="28">Q15+Q17</f>
        <v>2653104</v>
      </c>
      <c r="R19" s="136">
        <f t="shared" si="28"/>
        <v>2919245</v>
      </c>
      <c r="S19" s="136">
        <f t="shared" si="28"/>
        <v>3219676</v>
      </c>
      <c r="T19" s="136">
        <f t="shared" si="28"/>
        <v>3253927</v>
      </c>
      <c r="U19" s="136">
        <f t="shared" si="28"/>
        <v>3400080</v>
      </c>
      <c r="V19" s="136">
        <f t="shared" si="28"/>
        <v>3872504</v>
      </c>
      <c r="W19" s="136">
        <f t="shared" si="28"/>
        <v>4180266</v>
      </c>
      <c r="X19" s="136">
        <f t="shared" ref="X19:Z19" si="29">X15+X17</f>
        <v>4358640</v>
      </c>
      <c r="Y19" s="136">
        <f t="shared" si="29"/>
        <v>4189171</v>
      </c>
      <c r="Z19" s="136">
        <f t="shared" si="29"/>
        <v>3778711</v>
      </c>
      <c r="AA19" s="136">
        <f>AA15+AA17</f>
        <v>3571899</v>
      </c>
      <c r="AB19" s="136">
        <f>AB15+AB17</f>
        <v>1611790</v>
      </c>
      <c r="AC19" s="136">
        <f>AC15+AC17</f>
        <v>3567924</v>
      </c>
      <c r="AD19" s="136">
        <f>AD15+AD17</f>
        <v>3282349</v>
      </c>
      <c r="AE19" s="136">
        <f>AE15+AE17</f>
        <v>3723041</v>
      </c>
      <c r="AF19" s="136">
        <f t="shared" ref="AF19:AI19" si="30">AF15+AF17</f>
        <v>3396352</v>
      </c>
      <c r="AG19" s="136">
        <f t="shared" si="30"/>
        <v>3452741</v>
      </c>
      <c r="AH19" s="136">
        <f t="shared" si="30"/>
        <v>4176614</v>
      </c>
      <c r="AI19" s="136">
        <f t="shared" si="30"/>
        <v>0</v>
      </c>
      <c r="AJ19" s="227">
        <f>AJ15+AJ17</f>
        <v>43289498</v>
      </c>
      <c r="AL19" s="136"/>
    </row>
    <row r="20" spans="1:38" x14ac:dyDescent="0.2">
      <c r="A20" s="13"/>
      <c r="B20" s="13"/>
      <c r="C20" s="133"/>
      <c r="D20" s="133"/>
      <c r="E20" s="133"/>
      <c r="F20" s="133"/>
      <c r="G20" s="133"/>
      <c r="H20" s="133"/>
      <c r="I20" s="133"/>
      <c r="J20" s="1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4"/>
    </row>
    <row r="21" spans="1:38" x14ac:dyDescent="0.2">
      <c r="A21" s="378" t="s">
        <v>4</v>
      </c>
      <c r="B21" s="378"/>
      <c r="C21" s="133"/>
      <c r="D21" s="133"/>
      <c r="E21" s="133"/>
      <c r="F21" s="219"/>
      <c r="G21" s="219"/>
      <c r="H21" s="219"/>
      <c r="I21" s="219"/>
      <c r="J21" s="217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4"/>
    </row>
    <row r="22" spans="1:38" x14ac:dyDescent="0.2">
      <c r="A22" s="13"/>
      <c r="B22" s="13" t="s">
        <v>282</v>
      </c>
      <c r="C22" s="133">
        <v>1342493</v>
      </c>
      <c r="D22" s="133">
        <v>1388285</v>
      </c>
      <c r="E22" s="133">
        <v>1357362</v>
      </c>
      <c r="F22" s="133">
        <v>1333482</v>
      </c>
      <c r="G22" s="133">
        <v>1467197</v>
      </c>
      <c r="H22" s="133">
        <v>1345857</v>
      </c>
      <c r="I22" s="133">
        <v>1478608</v>
      </c>
      <c r="J22" s="13">
        <v>1432715</v>
      </c>
      <c r="K22" s="133">
        <v>1495827</v>
      </c>
      <c r="L22" s="133">
        <v>1485466</v>
      </c>
      <c r="M22" s="133">
        <v>1587218</v>
      </c>
      <c r="N22" s="133">
        <v>1456938</v>
      </c>
      <c r="O22" s="133">
        <v>1418563</v>
      </c>
      <c r="P22" s="133">
        <v>1429030</v>
      </c>
      <c r="Q22" s="133">
        <v>1387949</v>
      </c>
      <c r="R22" s="133">
        <v>1343679</v>
      </c>
      <c r="S22" s="133">
        <v>1459239</v>
      </c>
      <c r="T22" s="133">
        <v>1405563</v>
      </c>
      <c r="U22" s="133">
        <v>1493085</v>
      </c>
      <c r="V22" s="133">
        <v>1439016</v>
      </c>
      <c r="W22" s="133">
        <v>1472274</v>
      </c>
      <c r="X22" s="133">
        <v>1495202</v>
      </c>
      <c r="Y22" s="133">
        <v>1463121</v>
      </c>
      <c r="Z22" s="133">
        <v>1521192</v>
      </c>
      <c r="AA22" s="133">
        <v>1549312</v>
      </c>
      <c r="AB22" s="133">
        <v>1478008</v>
      </c>
      <c r="AC22" s="133">
        <v>1558196</v>
      </c>
      <c r="AD22" s="133">
        <v>1396204</v>
      </c>
      <c r="AE22" s="133">
        <v>1547694</v>
      </c>
      <c r="AF22" s="133">
        <v>1510486</v>
      </c>
      <c r="AG22" s="133">
        <v>1519318</v>
      </c>
      <c r="AH22" s="133">
        <v>1566798</v>
      </c>
      <c r="AI22" s="133"/>
      <c r="AJ22" s="4">
        <f t="shared" ref="AJ22:AJ34" si="31">SUM(W22:AI22)</f>
        <v>18077805</v>
      </c>
    </row>
    <row r="23" spans="1:38" x14ac:dyDescent="0.2">
      <c r="A23" s="13"/>
      <c r="B23" s="13" t="s">
        <v>248</v>
      </c>
      <c r="C23" s="133">
        <v>242811</v>
      </c>
      <c r="D23" s="133">
        <v>480327</v>
      </c>
      <c r="E23" s="133">
        <v>247750</v>
      </c>
      <c r="F23" s="133">
        <v>245640</v>
      </c>
      <c r="G23" s="133">
        <v>252002</v>
      </c>
      <c r="H23" s="133">
        <v>442872</v>
      </c>
      <c r="I23" s="133">
        <v>250919</v>
      </c>
      <c r="J23" s="13">
        <v>246298</v>
      </c>
      <c r="K23" s="133">
        <v>283171</v>
      </c>
      <c r="L23" s="133">
        <v>280988</v>
      </c>
      <c r="M23" s="133">
        <v>278144</v>
      </c>
      <c r="N23" s="133">
        <v>274255</v>
      </c>
      <c r="O23" s="133">
        <v>273611</v>
      </c>
      <c r="P23" s="133">
        <v>139073</v>
      </c>
      <c r="Q23" s="133">
        <v>272933</v>
      </c>
      <c r="R23" s="133">
        <v>277251</v>
      </c>
      <c r="S23" s="133">
        <v>273415</v>
      </c>
      <c r="T23" s="133">
        <v>275077</v>
      </c>
      <c r="U23" s="133">
        <v>276609</v>
      </c>
      <c r="V23" s="133">
        <v>278136</v>
      </c>
      <c r="W23" s="133">
        <v>290591</v>
      </c>
      <c r="X23" s="133">
        <v>291981</v>
      </c>
      <c r="Y23" s="133">
        <v>197617</v>
      </c>
      <c r="Z23" s="133">
        <v>203911</v>
      </c>
      <c r="AA23" s="133">
        <v>199735</v>
      </c>
      <c r="AB23" s="133">
        <v>99796</v>
      </c>
      <c r="AC23" s="133">
        <v>300600</v>
      </c>
      <c r="AD23" s="133">
        <v>297767</v>
      </c>
      <c r="AE23" s="133">
        <v>296235</v>
      </c>
      <c r="AF23" s="133">
        <v>289705</v>
      </c>
      <c r="AG23" s="133">
        <v>283522</v>
      </c>
      <c r="AH23" s="133">
        <v>290080</v>
      </c>
      <c r="AI23" s="133"/>
      <c r="AJ23" s="4">
        <f t="shared" si="31"/>
        <v>3041540</v>
      </c>
    </row>
    <row r="24" spans="1:38" x14ac:dyDescent="0.2">
      <c r="A24" s="13"/>
      <c r="B24" s="13" t="s">
        <v>281</v>
      </c>
      <c r="C24" s="133">
        <v>234425</v>
      </c>
      <c r="D24" s="133">
        <v>265107</v>
      </c>
      <c r="E24" s="133">
        <v>269895</v>
      </c>
      <c r="F24" s="133">
        <v>237920</v>
      </c>
      <c r="G24" s="133">
        <v>257960</v>
      </c>
      <c r="H24" s="133">
        <v>257456</v>
      </c>
      <c r="I24" s="133">
        <v>261373</v>
      </c>
      <c r="J24" s="13">
        <v>254150</v>
      </c>
      <c r="K24" s="133">
        <v>263344</v>
      </c>
      <c r="L24" s="133">
        <v>257142</v>
      </c>
      <c r="M24" s="133">
        <v>255675</v>
      </c>
      <c r="N24" s="133">
        <v>249036</v>
      </c>
      <c r="O24" s="133">
        <v>257919</v>
      </c>
      <c r="P24" s="133">
        <v>253677</v>
      </c>
      <c r="Q24" s="133">
        <v>265179</v>
      </c>
      <c r="R24" s="133">
        <v>242538</v>
      </c>
      <c r="S24" s="133">
        <v>272829</v>
      </c>
      <c r="T24" s="133">
        <v>256567</v>
      </c>
      <c r="U24" s="133">
        <v>262535</v>
      </c>
      <c r="V24" s="133">
        <v>278129</v>
      </c>
      <c r="W24" s="133">
        <v>268841</v>
      </c>
      <c r="X24" s="133">
        <v>270636</v>
      </c>
      <c r="Y24" s="133">
        <v>283131</v>
      </c>
      <c r="Z24" s="133">
        <v>268170</v>
      </c>
      <c r="AA24" s="133">
        <v>288304</v>
      </c>
      <c r="AB24" s="133">
        <v>269520</v>
      </c>
      <c r="AC24" s="133">
        <v>277292</v>
      </c>
      <c r="AD24" s="133">
        <v>259557</v>
      </c>
      <c r="AE24" s="133">
        <v>288183</v>
      </c>
      <c r="AF24" s="133">
        <v>281014</v>
      </c>
      <c r="AG24" s="133">
        <v>278881</v>
      </c>
      <c r="AH24" s="133">
        <v>280107</v>
      </c>
      <c r="AI24" s="133"/>
      <c r="AJ24" s="4">
        <f t="shared" si="31"/>
        <v>3313636</v>
      </c>
    </row>
    <row r="25" spans="1:38" x14ac:dyDescent="0.2">
      <c r="A25" s="13"/>
      <c r="B25" s="13" t="s">
        <v>209</v>
      </c>
      <c r="C25" s="133">
        <v>67316</v>
      </c>
      <c r="D25" s="133">
        <v>58847</v>
      </c>
      <c r="E25" s="133">
        <v>40605</v>
      </c>
      <c r="F25" s="133">
        <v>42337</v>
      </c>
      <c r="G25" s="133">
        <v>114545</v>
      </c>
      <c r="H25" s="133">
        <v>86000</v>
      </c>
      <c r="I25" s="133">
        <v>32053</v>
      </c>
      <c r="J25" s="13">
        <v>45196</v>
      </c>
      <c r="K25" s="133">
        <v>45795</v>
      </c>
      <c r="L25" s="133">
        <v>59409</v>
      </c>
      <c r="M25" s="133">
        <v>92965</v>
      </c>
      <c r="N25" s="133">
        <v>66287</v>
      </c>
      <c r="O25" s="133">
        <v>80239</v>
      </c>
      <c r="P25" s="133">
        <v>69726</v>
      </c>
      <c r="Q25" s="133">
        <v>48652</v>
      </c>
      <c r="R25" s="133">
        <v>67627</v>
      </c>
      <c r="S25" s="133">
        <v>131551</v>
      </c>
      <c r="T25" s="133">
        <v>68930</v>
      </c>
      <c r="U25" s="133">
        <v>52177</v>
      </c>
      <c r="V25" s="133">
        <v>40822</v>
      </c>
      <c r="W25" s="133">
        <v>30560</v>
      </c>
      <c r="X25" s="133">
        <v>113284</v>
      </c>
      <c r="Y25" s="133">
        <v>52038</v>
      </c>
      <c r="Z25" s="133">
        <v>57484</v>
      </c>
      <c r="AA25" s="133">
        <v>131455</v>
      </c>
      <c r="AB25" s="133">
        <v>125861</v>
      </c>
      <c r="AC25" s="133">
        <v>99051</v>
      </c>
      <c r="AD25" s="133">
        <v>92919</v>
      </c>
      <c r="AE25" s="133">
        <v>74255</v>
      </c>
      <c r="AF25" s="133">
        <v>142614</v>
      </c>
      <c r="AG25" s="133">
        <v>88078</v>
      </c>
      <c r="AH25" s="133">
        <v>80555</v>
      </c>
      <c r="AI25" s="133"/>
      <c r="AJ25" s="4">
        <f t="shared" si="31"/>
        <v>1088154</v>
      </c>
    </row>
    <row r="26" spans="1:38" x14ac:dyDescent="0.2">
      <c r="A26" s="13"/>
      <c r="B26" s="13" t="s">
        <v>210</v>
      </c>
      <c r="C26" s="133">
        <v>189994</v>
      </c>
      <c r="D26" s="133">
        <v>216286</v>
      </c>
      <c r="E26" s="133">
        <v>185019</v>
      </c>
      <c r="F26" s="133">
        <v>206737</v>
      </c>
      <c r="G26" s="133">
        <v>196559</v>
      </c>
      <c r="H26" s="133">
        <v>224659</v>
      </c>
      <c r="I26" s="133">
        <v>195641</v>
      </c>
      <c r="J26" s="13">
        <v>272666</v>
      </c>
      <c r="K26" s="133">
        <v>217685</v>
      </c>
      <c r="L26" s="133">
        <v>233102</v>
      </c>
      <c r="M26" s="133">
        <v>185693</v>
      </c>
      <c r="N26" s="133">
        <v>231675</v>
      </c>
      <c r="O26" s="133">
        <v>219672</v>
      </c>
      <c r="P26" s="133">
        <v>271596</v>
      </c>
      <c r="Q26" s="133">
        <v>161288</v>
      </c>
      <c r="R26" s="133">
        <v>286602</v>
      </c>
      <c r="S26" s="133">
        <v>233752</v>
      </c>
      <c r="T26" s="133">
        <v>206276</v>
      </c>
      <c r="U26" s="133">
        <v>214586</v>
      </c>
      <c r="V26" s="133">
        <v>215174</v>
      </c>
      <c r="W26" s="133">
        <v>221054</v>
      </c>
      <c r="X26" s="133">
        <v>309248</v>
      </c>
      <c r="Y26" s="133">
        <v>214429</v>
      </c>
      <c r="Z26" s="133">
        <v>209985</v>
      </c>
      <c r="AA26" s="133">
        <v>208181</v>
      </c>
      <c r="AB26" s="133">
        <v>256649</v>
      </c>
      <c r="AC26" s="133">
        <v>223617</v>
      </c>
      <c r="AD26" s="133">
        <v>242618</v>
      </c>
      <c r="AE26" s="133">
        <v>275294</v>
      </c>
      <c r="AF26" s="133">
        <v>198925</v>
      </c>
      <c r="AG26" s="133">
        <v>250005</v>
      </c>
      <c r="AH26" s="133">
        <v>265253</v>
      </c>
      <c r="AI26" s="133"/>
      <c r="AJ26" s="4">
        <f t="shared" si="31"/>
        <v>2875258</v>
      </c>
    </row>
    <row r="27" spans="1:38" x14ac:dyDescent="0.2">
      <c r="A27" s="13"/>
      <c r="B27" s="13" t="s">
        <v>211</v>
      </c>
      <c r="C27" s="133">
        <v>40215</v>
      </c>
      <c r="D27" s="133">
        <v>26717</v>
      </c>
      <c r="E27" s="133">
        <v>26586</v>
      </c>
      <c r="F27" s="133">
        <v>22931</v>
      </c>
      <c r="G27" s="133">
        <v>29490</v>
      </c>
      <c r="H27" s="133">
        <v>18413</v>
      </c>
      <c r="I27" s="133">
        <v>48641</v>
      </c>
      <c r="J27" s="13">
        <v>32454</v>
      </c>
      <c r="K27" s="133">
        <v>38160</v>
      </c>
      <c r="L27" s="133">
        <v>41238</v>
      </c>
      <c r="M27" s="133">
        <v>26378</v>
      </c>
      <c r="N27" s="133">
        <v>44246</v>
      </c>
      <c r="O27" s="133">
        <v>29819</v>
      </c>
      <c r="P27" s="133">
        <v>21607</v>
      </c>
      <c r="Q27" s="133">
        <v>38680</v>
      </c>
      <c r="R27" s="133">
        <v>29181</v>
      </c>
      <c r="S27" s="133">
        <v>32808</v>
      </c>
      <c r="T27" s="133">
        <v>38871</v>
      </c>
      <c r="U27" s="133">
        <v>29272</v>
      </c>
      <c r="V27" s="133">
        <v>49670</v>
      </c>
      <c r="W27" s="133">
        <v>33084</v>
      </c>
      <c r="X27" s="133">
        <v>37182</v>
      </c>
      <c r="Y27" s="133">
        <v>35223</v>
      </c>
      <c r="Z27" s="133">
        <v>41990</v>
      </c>
      <c r="AA27" s="133">
        <v>21761</v>
      </c>
      <c r="AB27" s="133">
        <v>44741</v>
      </c>
      <c r="AC27" s="133">
        <v>35335</v>
      </c>
      <c r="AD27" s="133">
        <v>43570</v>
      </c>
      <c r="AE27" s="133">
        <v>32416</v>
      </c>
      <c r="AF27" s="133">
        <v>30395</v>
      </c>
      <c r="AG27" s="133">
        <v>35533</v>
      </c>
      <c r="AH27" s="133">
        <v>47622</v>
      </c>
      <c r="AI27" s="133"/>
      <c r="AJ27" s="4">
        <f t="shared" si="31"/>
        <v>438852</v>
      </c>
    </row>
    <row r="28" spans="1:38" x14ac:dyDescent="0.2">
      <c r="A28" s="13"/>
      <c r="B28" s="13" t="s">
        <v>272</v>
      </c>
      <c r="C28" s="133">
        <v>51439</v>
      </c>
      <c r="D28" s="133">
        <v>71694</v>
      </c>
      <c r="E28" s="133">
        <v>42809</v>
      </c>
      <c r="F28" s="133">
        <v>41299</v>
      </c>
      <c r="G28" s="133">
        <v>55970</v>
      </c>
      <c r="H28" s="133">
        <v>63352</v>
      </c>
      <c r="I28" s="133">
        <v>70143</v>
      </c>
      <c r="J28" s="13">
        <v>37454</v>
      </c>
      <c r="K28" s="133">
        <v>27547</v>
      </c>
      <c r="L28" s="133">
        <v>56371</v>
      </c>
      <c r="M28" s="133">
        <v>30094</v>
      </c>
      <c r="N28" s="133">
        <v>29362</v>
      </c>
      <c r="O28" s="133">
        <v>34856</v>
      </c>
      <c r="P28" s="133">
        <v>86931</v>
      </c>
      <c r="Q28" s="133">
        <v>36330</v>
      </c>
      <c r="R28" s="133">
        <v>19702</v>
      </c>
      <c r="S28" s="133">
        <v>7184</v>
      </c>
      <c r="T28" s="133">
        <v>9708</v>
      </c>
      <c r="U28" s="133">
        <v>68604</v>
      </c>
      <c r="V28" s="133">
        <v>50453</v>
      </c>
      <c r="W28" s="133">
        <v>50702</v>
      </c>
      <c r="X28" s="133">
        <v>37400</v>
      </c>
      <c r="Y28" s="133">
        <v>12998</v>
      </c>
      <c r="Z28" s="133">
        <v>14564</v>
      </c>
      <c r="AA28" s="133">
        <v>17478</v>
      </c>
      <c r="AB28" s="133">
        <v>31274</v>
      </c>
      <c r="AC28" s="133">
        <v>27003</v>
      </c>
      <c r="AD28" s="133">
        <v>30659</v>
      </c>
      <c r="AE28" s="133">
        <v>80784</v>
      </c>
      <c r="AF28" s="133">
        <v>92362</v>
      </c>
      <c r="AG28" s="133">
        <v>57301</v>
      </c>
      <c r="AH28" s="133">
        <v>104253</v>
      </c>
      <c r="AI28" s="133"/>
      <c r="AJ28" s="4">
        <f t="shared" si="31"/>
        <v>556778</v>
      </c>
    </row>
    <row r="29" spans="1:38" x14ac:dyDescent="0.2">
      <c r="A29" s="13"/>
      <c r="B29" s="13" t="s">
        <v>212</v>
      </c>
      <c r="C29" s="133">
        <v>120049</v>
      </c>
      <c r="D29" s="133">
        <v>116441</v>
      </c>
      <c r="E29" s="133">
        <v>137472</v>
      </c>
      <c r="F29" s="133">
        <v>136869</v>
      </c>
      <c r="G29" s="133">
        <v>80139</v>
      </c>
      <c r="H29" s="133">
        <v>115487</v>
      </c>
      <c r="I29" s="133">
        <v>115942</v>
      </c>
      <c r="J29" s="13">
        <v>131834</v>
      </c>
      <c r="K29" s="133">
        <v>125924</v>
      </c>
      <c r="L29" s="133">
        <v>126213</v>
      </c>
      <c r="M29" s="133">
        <v>135449</v>
      </c>
      <c r="N29" s="133">
        <v>123549</v>
      </c>
      <c r="O29" s="133">
        <v>142631</v>
      </c>
      <c r="P29" s="133">
        <v>136007</v>
      </c>
      <c r="Q29" s="133">
        <v>114179</v>
      </c>
      <c r="R29" s="133">
        <v>135909</v>
      </c>
      <c r="S29" s="133">
        <v>142591</v>
      </c>
      <c r="T29" s="133">
        <v>123631</v>
      </c>
      <c r="U29" s="133">
        <v>159221</v>
      </c>
      <c r="V29" s="133">
        <v>137386</v>
      </c>
      <c r="W29" s="133">
        <v>150375</v>
      </c>
      <c r="X29" s="133">
        <v>156138</v>
      </c>
      <c r="Y29" s="133">
        <v>120209</v>
      </c>
      <c r="Z29" s="133">
        <v>136348</v>
      </c>
      <c r="AA29" s="133">
        <v>175059</v>
      </c>
      <c r="AB29" s="133">
        <v>128023</v>
      </c>
      <c r="AC29" s="133">
        <v>126640</v>
      </c>
      <c r="AD29" s="133">
        <v>128238</v>
      </c>
      <c r="AE29" s="133">
        <v>169014</v>
      </c>
      <c r="AF29" s="133">
        <v>149918</v>
      </c>
      <c r="AG29" s="133">
        <v>198849</v>
      </c>
      <c r="AH29" s="133">
        <v>151263</v>
      </c>
      <c r="AI29" s="133"/>
      <c r="AJ29" s="4">
        <f t="shared" si="31"/>
        <v>1790074</v>
      </c>
    </row>
    <row r="30" spans="1:38" x14ac:dyDescent="0.2">
      <c r="A30" s="13"/>
      <c r="B30" s="13" t="s">
        <v>213</v>
      </c>
      <c r="C30" s="133">
        <v>85325</v>
      </c>
      <c r="D30" s="133">
        <v>141473</v>
      </c>
      <c r="E30" s="133">
        <v>79884</v>
      </c>
      <c r="F30" s="133">
        <v>131961</v>
      </c>
      <c r="G30" s="133">
        <v>106331</v>
      </c>
      <c r="H30" s="133">
        <v>89037</v>
      </c>
      <c r="I30" s="133">
        <v>70192</v>
      </c>
      <c r="J30" s="13">
        <v>73329</v>
      </c>
      <c r="K30" s="133">
        <v>77884</v>
      </c>
      <c r="L30" s="133">
        <v>67507</v>
      </c>
      <c r="M30" s="133">
        <v>65398</v>
      </c>
      <c r="N30" s="133">
        <v>91140</v>
      </c>
      <c r="O30" s="133">
        <v>115836</v>
      </c>
      <c r="P30" s="133">
        <v>105260</v>
      </c>
      <c r="Q30" s="133">
        <v>86554</v>
      </c>
      <c r="R30" s="133">
        <v>96382</v>
      </c>
      <c r="S30" s="133">
        <v>96372</v>
      </c>
      <c r="T30" s="133">
        <v>141458</v>
      </c>
      <c r="U30" s="133">
        <v>116195</v>
      </c>
      <c r="V30" s="133">
        <v>113078</v>
      </c>
      <c r="W30" s="133">
        <v>159856</v>
      </c>
      <c r="X30" s="133">
        <v>117613</v>
      </c>
      <c r="Y30" s="133">
        <v>109217</v>
      </c>
      <c r="Z30" s="133">
        <v>125636</v>
      </c>
      <c r="AA30" s="133">
        <v>105804</v>
      </c>
      <c r="AB30" s="133">
        <v>187686</v>
      </c>
      <c r="AC30" s="133">
        <v>70337</v>
      </c>
      <c r="AD30" s="133">
        <v>84083</v>
      </c>
      <c r="AE30" s="133">
        <v>81442</v>
      </c>
      <c r="AF30" s="133">
        <v>105755</v>
      </c>
      <c r="AG30" s="133">
        <v>81289</v>
      </c>
      <c r="AH30" s="133">
        <v>74814</v>
      </c>
      <c r="AI30" s="133"/>
      <c r="AJ30" s="4">
        <f t="shared" si="31"/>
        <v>1303532</v>
      </c>
    </row>
    <row r="31" spans="1:38" x14ac:dyDescent="0.2">
      <c r="A31" s="13"/>
      <c r="B31" s="13" t="s">
        <v>214</v>
      </c>
      <c r="C31" s="133">
        <v>80310</v>
      </c>
      <c r="D31" s="133">
        <v>90443</v>
      </c>
      <c r="E31" s="133">
        <v>76120</v>
      </c>
      <c r="F31" s="133">
        <v>70841</v>
      </c>
      <c r="G31" s="133">
        <v>84784</v>
      </c>
      <c r="H31" s="133">
        <v>72439</v>
      </c>
      <c r="I31" s="133">
        <v>88528</v>
      </c>
      <c r="J31" s="13">
        <v>78129</v>
      </c>
      <c r="K31" s="133">
        <v>70540</v>
      </c>
      <c r="L31" s="133">
        <v>72962</v>
      </c>
      <c r="M31" s="133">
        <v>78683</v>
      </c>
      <c r="N31" s="133">
        <v>70178</v>
      </c>
      <c r="O31" s="133">
        <v>63735</v>
      </c>
      <c r="P31" s="133">
        <v>77740</v>
      </c>
      <c r="Q31" s="133">
        <v>69612</v>
      </c>
      <c r="R31" s="133">
        <v>63993</v>
      </c>
      <c r="S31" s="133">
        <v>77042</v>
      </c>
      <c r="T31" s="133">
        <v>65495</v>
      </c>
      <c r="U31" s="133">
        <v>68408</v>
      </c>
      <c r="V31" s="133">
        <v>70803</v>
      </c>
      <c r="W31" s="133">
        <v>85826</v>
      </c>
      <c r="X31" s="133">
        <v>69801</v>
      </c>
      <c r="Y31" s="133">
        <v>90915</v>
      </c>
      <c r="Z31" s="133">
        <v>84124</v>
      </c>
      <c r="AA31" s="133">
        <v>85823</v>
      </c>
      <c r="AB31" s="133">
        <v>68559</v>
      </c>
      <c r="AC31" s="133">
        <v>73899</v>
      </c>
      <c r="AD31" s="133">
        <v>77214</v>
      </c>
      <c r="AE31" s="133">
        <v>71850</v>
      </c>
      <c r="AF31" s="133">
        <v>84884</v>
      </c>
      <c r="AG31" s="133">
        <v>64879</v>
      </c>
      <c r="AH31" s="133">
        <v>93653</v>
      </c>
      <c r="AI31" s="133"/>
      <c r="AJ31" s="4">
        <f t="shared" si="31"/>
        <v>951427</v>
      </c>
    </row>
    <row r="32" spans="1:38" x14ac:dyDescent="0.2">
      <c r="A32" s="13"/>
      <c r="B32" s="13" t="s">
        <v>215</v>
      </c>
      <c r="C32" s="133">
        <v>218623</v>
      </c>
      <c r="D32" s="133">
        <v>312148</v>
      </c>
      <c r="E32" s="133">
        <v>268261</v>
      </c>
      <c r="F32" s="133">
        <v>313727</v>
      </c>
      <c r="G32" s="133">
        <v>427204</v>
      </c>
      <c r="H32" s="133">
        <v>331502</v>
      </c>
      <c r="I32" s="133">
        <v>344143</v>
      </c>
      <c r="J32" s="13">
        <v>437147</v>
      </c>
      <c r="K32" s="133">
        <v>438915</v>
      </c>
      <c r="L32" s="133">
        <v>310984</v>
      </c>
      <c r="M32" s="133">
        <v>482124</v>
      </c>
      <c r="N32" s="133">
        <v>328049</v>
      </c>
      <c r="O32" s="133">
        <v>277897</v>
      </c>
      <c r="P32" s="133">
        <v>293981</v>
      </c>
      <c r="Q32" s="133">
        <v>293892</v>
      </c>
      <c r="R32" s="133">
        <v>272087</v>
      </c>
      <c r="S32" s="133">
        <v>330457</v>
      </c>
      <c r="T32" s="133">
        <v>298682</v>
      </c>
      <c r="U32" s="133">
        <v>336034</v>
      </c>
      <c r="V32" s="133">
        <v>374855</v>
      </c>
      <c r="W32" s="133">
        <v>351570</v>
      </c>
      <c r="X32" s="133">
        <v>468484</v>
      </c>
      <c r="Y32" s="133">
        <v>442744</v>
      </c>
      <c r="Z32" s="133">
        <v>381997</v>
      </c>
      <c r="AA32" s="133">
        <v>346991</v>
      </c>
      <c r="AB32" s="133">
        <v>227931</v>
      </c>
      <c r="AC32" s="133">
        <v>339909</v>
      </c>
      <c r="AD32" s="133">
        <v>367065</v>
      </c>
      <c r="AE32" s="133">
        <v>442003</v>
      </c>
      <c r="AF32" s="133">
        <v>368550</v>
      </c>
      <c r="AG32" s="133">
        <v>363502</v>
      </c>
      <c r="AH32" s="133">
        <v>443117</v>
      </c>
      <c r="AI32" s="133"/>
      <c r="AJ32" s="4">
        <f t="shared" si="31"/>
        <v>4543863</v>
      </c>
    </row>
    <row r="33" spans="1:38" x14ac:dyDescent="0.2">
      <c r="A33" s="13"/>
      <c r="B33" s="13" t="s">
        <v>216</v>
      </c>
      <c r="C33" s="136">
        <v>181477</v>
      </c>
      <c r="D33" s="136">
        <v>272473</v>
      </c>
      <c r="E33" s="136">
        <v>165667</v>
      </c>
      <c r="F33" s="133">
        <v>142255</v>
      </c>
      <c r="G33" s="133">
        <v>191478</v>
      </c>
      <c r="H33" s="133">
        <v>196004</v>
      </c>
      <c r="I33" s="133">
        <v>167473</v>
      </c>
      <c r="J33" s="13">
        <v>128642</v>
      </c>
      <c r="K33" s="133">
        <v>83970</v>
      </c>
      <c r="L33" s="133">
        <v>176368</v>
      </c>
      <c r="M33" s="133">
        <v>173391</v>
      </c>
      <c r="N33" s="133">
        <v>165610</v>
      </c>
      <c r="O33" s="133">
        <v>193775</v>
      </c>
      <c r="P33" s="133">
        <v>146040</v>
      </c>
      <c r="Q33" s="133">
        <v>175727</v>
      </c>
      <c r="R33" s="133">
        <v>166011</v>
      </c>
      <c r="S33" s="133">
        <v>167309</v>
      </c>
      <c r="T33" s="133">
        <v>176893</v>
      </c>
      <c r="U33" s="133">
        <v>164897</v>
      </c>
      <c r="V33" s="133">
        <v>164012</v>
      </c>
      <c r="W33" s="133">
        <v>118128</v>
      </c>
      <c r="X33" s="133">
        <v>115554</v>
      </c>
      <c r="Y33" s="133">
        <v>151595</v>
      </c>
      <c r="Z33" s="133">
        <v>182464</v>
      </c>
      <c r="AA33" s="133">
        <v>242704</v>
      </c>
      <c r="AB33" s="133">
        <v>300457</v>
      </c>
      <c r="AC33" s="133">
        <v>159059</v>
      </c>
      <c r="AD33" s="133">
        <v>208964</v>
      </c>
      <c r="AE33" s="133">
        <v>191025</v>
      </c>
      <c r="AF33" s="133">
        <v>182912</v>
      </c>
      <c r="AG33" s="133">
        <v>174535</v>
      </c>
      <c r="AH33" s="133">
        <v>160911</v>
      </c>
      <c r="AI33" s="133"/>
      <c r="AJ33" s="4">
        <f t="shared" si="31"/>
        <v>2188308</v>
      </c>
    </row>
    <row r="34" spans="1:38" x14ac:dyDescent="0.2">
      <c r="A34" s="13"/>
      <c r="B34" s="13" t="s">
        <v>218</v>
      </c>
      <c r="C34" s="136">
        <v>229301</v>
      </c>
      <c r="D34" s="136">
        <v>228820</v>
      </c>
      <c r="E34" s="136">
        <v>225654</v>
      </c>
      <c r="F34" s="133">
        <v>224720</v>
      </c>
      <c r="G34" s="133">
        <v>220071</v>
      </c>
      <c r="H34" s="133">
        <v>220350</v>
      </c>
      <c r="I34" s="133">
        <v>217365</v>
      </c>
      <c r="J34" s="13">
        <v>217435</v>
      </c>
      <c r="K34" s="136">
        <v>219225</v>
      </c>
      <c r="L34" s="136">
        <v>218902</v>
      </c>
      <c r="M34" s="136">
        <v>220095</v>
      </c>
      <c r="N34" s="136">
        <v>220865</v>
      </c>
      <c r="O34" s="136">
        <v>220918</v>
      </c>
      <c r="P34" s="136">
        <v>221915</v>
      </c>
      <c r="Q34" s="136">
        <v>220311</v>
      </c>
      <c r="R34" s="136">
        <v>215587</v>
      </c>
      <c r="S34" s="136">
        <v>218158</v>
      </c>
      <c r="T34" s="136">
        <v>199036</v>
      </c>
      <c r="U34" s="136">
        <v>200363</v>
      </c>
      <c r="V34" s="136">
        <v>203677</v>
      </c>
      <c r="W34" s="136">
        <v>205371</v>
      </c>
      <c r="X34" s="136">
        <v>204717</v>
      </c>
      <c r="Y34" s="136">
        <v>204482</v>
      </c>
      <c r="Z34" s="136">
        <v>203673</v>
      </c>
      <c r="AA34" s="136">
        <v>197983</v>
      </c>
      <c r="AB34" s="136">
        <v>205324</v>
      </c>
      <c r="AC34" s="136">
        <v>201473</v>
      </c>
      <c r="AD34" s="136">
        <v>200499</v>
      </c>
      <c r="AE34" s="136">
        <v>188897</v>
      </c>
      <c r="AF34" s="136">
        <v>187549</v>
      </c>
      <c r="AG34" s="136">
        <v>195459</v>
      </c>
      <c r="AH34" s="136">
        <v>194447</v>
      </c>
      <c r="AI34" s="136"/>
      <c r="AJ34" s="4">
        <f t="shared" si="31"/>
        <v>2389874</v>
      </c>
    </row>
    <row r="35" spans="1:38" x14ac:dyDescent="0.2">
      <c r="A35" s="13" t="s">
        <v>219</v>
      </c>
      <c r="B35" s="13"/>
      <c r="C35" s="136">
        <f>SUM(C22:C34)</f>
        <v>3083778</v>
      </c>
      <c r="D35" s="136">
        <f>SUM(D22:D34)+3</f>
        <v>3669064</v>
      </c>
      <c r="E35" s="136">
        <f>SUM(E22:E34)-1</f>
        <v>3123083</v>
      </c>
      <c r="F35" s="136">
        <f>SUM(F22:F34)-3</f>
        <v>3150716</v>
      </c>
      <c r="G35" s="136">
        <f>SUM(G22:G34)+1</f>
        <v>3483731</v>
      </c>
      <c r="H35" s="136">
        <f>SUM(H22:H34)-1</f>
        <v>3463427</v>
      </c>
      <c r="I35" s="136">
        <f t="shared" ref="I35" si="32">SUM(I22:I34)</f>
        <v>3341021</v>
      </c>
      <c r="J35" s="136">
        <f>SUM(J22:J34)-2</f>
        <v>3387447</v>
      </c>
      <c r="K35" s="136">
        <f>SUM(K22:K34)</f>
        <v>3387987</v>
      </c>
      <c r="L35" s="136">
        <f>SUM(L22:L34)-1</f>
        <v>3386651</v>
      </c>
      <c r="M35" s="136">
        <f>SUM(M22:M34)-2</f>
        <v>3611305</v>
      </c>
      <c r="N35" s="136">
        <f>SUM(N22:N34)</f>
        <v>3351190</v>
      </c>
      <c r="O35" s="136">
        <f t="shared" ref="O35" si="33">SUM(O22:O34)</f>
        <v>3329471</v>
      </c>
      <c r="P35" s="136">
        <f>SUM(P22:P34)-1</f>
        <v>3252582</v>
      </c>
      <c r="Q35" s="136">
        <f t="shared" ref="Q35:W35" si="34">SUM(Q22:Q34)</f>
        <v>3171286</v>
      </c>
      <c r="R35" s="136">
        <f t="shared" si="34"/>
        <v>3216549</v>
      </c>
      <c r="S35" s="136">
        <f t="shared" si="34"/>
        <v>3442707</v>
      </c>
      <c r="T35" s="136">
        <f t="shared" si="34"/>
        <v>3266187</v>
      </c>
      <c r="U35" s="136">
        <f t="shared" si="34"/>
        <v>3441986</v>
      </c>
      <c r="V35" s="136">
        <f t="shared" si="34"/>
        <v>3415211</v>
      </c>
      <c r="W35" s="136">
        <f t="shared" si="34"/>
        <v>3438232</v>
      </c>
      <c r="X35" s="136">
        <f t="shared" ref="X35:Z35" si="35">SUM(X22:X34)</f>
        <v>3687240</v>
      </c>
      <c r="Y35" s="136">
        <f t="shared" si="35"/>
        <v>3377719</v>
      </c>
      <c r="Z35" s="136">
        <f t="shared" si="35"/>
        <v>3431538</v>
      </c>
      <c r="AA35" s="136">
        <f t="shared" ref="AA35:AF35" si="36">SUM(AA22:AA34)</f>
        <v>3570590</v>
      </c>
      <c r="AB35" s="136">
        <f t="shared" si="36"/>
        <v>3423829</v>
      </c>
      <c r="AC35" s="136">
        <f t="shared" si="36"/>
        <v>3492411</v>
      </c>
      <c r="AD35" s="136">
        <f t="shared" si="36"/>
        <v>3429357</v>
      </c>
      <c r="AE35" s="136">
        <f t="shared" si="36"/>
        <v>3739092</v>
      </c>
      <c r="AF35" s="136">
        <f t="shared" si="36"/>
        <v>3625069</v>
      </c>
      <c r="AG35" s="136">
        <f t="shared" ref="AG35:AH35" si="37">SUM(AG22:AG34)</f>
        <v>3591151</v>
      </c>
      <c r="AH35" s="136">
        <f t="shared" si="37"/>
        <v>3752873</v>
      </c>
      <c r="AI35" s="136"/>
      <c r="AJ35" s="227">
        <f>SUM(AJ22:AJ34)</f>
        <v>42559101</v>
      </c>
    </row>
    <row r="36" spans="1:38" x14ac:dyDescent="0.2">
      <c r="A36" s="13"/>
      <c r="B36" s="13"/>
      <c r="C36" s="133"/>
      <c r="D36" s="133"/>
      <c r="E36" s="133"/>
      <c r="F36" s="133"/>
      <c r="G36" s="133"/>
      <c r="H36" s="133"/>
      <c r="I36" s="133"/>
      <c r="J36" s="1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4"/>
    </row>
    <row r="37" spans="1:38" x14ac:dyDescent="0.2">
      <c r="A37" s="13" t="s">
        <v>5</v>
      </c>
      <c r="B37" s="13"/>
      <c r="C37" s="133">
        <f>C19-C35</f>
        <v>-452630</v>
      </c>
      <c r="D37" s="133">
        <f>D19-D35+1</f>
        <v>-36097</v>
      </c>
      <c r="E37" s="133">
        <f t="shared" ref="E37:J37" si="38">E19-E35</f>
        <v>-305824</v>
      </c>
      <c r="F37" s="133">
        <f t="shared" si="38"/>
        <v>-414817</v>
      </c>
      <c r="G37" s="133">
        <f>G19-G35+1</f>
        <v>-14764</v>
      </c>
      <c r="H37" s="133">
        <f>H19-H35+1</f>
        <v>71181</v>
      </c>
      <c r="I37" s="133">
        <f t="shared" si="38"/>
        <v>-111299</v>
      </c>
      <c r="J37" s="133">
        <f t="shared" si="38"/>
        <v>878456</v>
      </c>
      <c r="K37" s="133">
        <f>K19-K35</f>
        <v>936653</v>
      </c>
      <c r="L37" s="133">
        <f>L19-L35+1</f>
        <v>1230341</v>
      </c>
      <c r="M37" s="133">
        <f>M19-M35</f>
        <v>-134245</v>
      </c>
      <c r="N37" s="133">
        <f>N19-N35</f>
        <v>8255</v>
      </c>
      <c r="O37" s="133">
        <f t="shared" ref="O37:P37" si="39">O19-O35</f>
        <v>515793</v>
      </c>
      <c r="P37" s="133">
        <f t="shared" si="39"/>
        <v>788294</v>
      </c>
      <c r="Q37" s="133">
        <f t="shared" ref="Q37:R37" si="40">Q19-Q35</f>
        <v>-518182</v>
      </c>
      <c r="R37" s="133">
        <f t="shared" si="40"/>
        <v>-297304</v>
      </c>
      <c r="S37" s="133">
        <f t="shared" ref="S37:T37" si="41">S19-S35</f>
        <v>-223031</v>
      </c>
      <c r="T37" s="133">
        <f t="shared" si="41"/>
        <v>-12260</v>
      </c>
      <c r="U37" s="133">
        <f t="shared" ref="U37:V37" si="42">U19-U35</f>
        <v>-41906</v>
      </c>
      <c r="V37" s="133">
        <f t="shared" si="42"/>
        <v>457293</v>
      </c>
      <c r="W37" s="133">
        <f t="shared" ref="W37:X37" si="43">W19-W35</f>
        <v>742034</v>
      </c>
      <c r="X37" s="133">
        <f t="shared" si="43"/>
        <v>671400</v>
      </c>
      <c r="Y37" s="133">
        <f>Y19-Y35</f>
        <v>811452</v>
      </c>
      <c r="Z37" s="133">
        <f t="shared" ref="Z37" si="44">Z19-Z35</f>
        <v>347173</v>
      </c>
      <c r="AA37" s="133">
        <f t="shared" ref="AA37:AF37" si="45">AA19-AA35</f>
        <v>1309</v>
      </c>
      <c r="AB37" s="133">
        <f t="shared" si="45"/>
        <v>-1812039</v>
      </c>
      <c r="AC37" s="133">
        <f t="shared" si="45"/>
        <v>75513</v>
      </c>
      <c r="AD37" s="133">
        <f t="shared" si="45"/>
        <v>-147008</v>
      </c>
      <c r="AE37" s="133">
        <f t="shared" si="45"/>
        <v>-16051</v>
      </c>
      <c r="AF37" s="133">
        <f t="shared" si="45"/>
        <v>-228717</v>
      </c>
      <c r="AG37" s="133">
        <f t="shared" ref="AG37:AH37" si="46">AG19-AG35</f>
        <v>-138410</v>
      </c>
      <c r="AH37" s="133">
        <f t="shared" si="46"/>
        <v>423741</v>
      </c>
      <c r="AI37" s="133"/>
      <c r="AJ37" s="228">
        <f>AJ19-AJ35</f>
        <v>730397</v>
      </c>
      <c r="AL37" s="228"/>
    </row>
    <row r="38" spans="1:38" x14ac:dyDescent="0.2">
      <c r="A38" s="13"/>
      <c r="B38" s="13"/>
      <c r="C38" s="195">
        <f t="shared" ref="C38:P38" si="47">C37/C19</f>
        <v>-0.17202757123506546</v>
      </c>
      <c r="D38" s="195">
        <f t="shared" si="47"/>
        <v>-9.9359586629767516E-3</v>
      </c>
      <c r="E38" s="195">
        <f t="shared" si="47"/>
        <v>-0.1085537396455207</v>
      </c>
      <c r="F38" s="195">
        <f t="shared" si="47"/>
        <v>-0.15161999766804257</v>
      </c>
      <c r="G38" s="195">
        <f t="shared" si="47"/>
        <v>-4.2560232645693268E-3</v>
      </c>
      <c r="H38" s="195">
        <f t="shared" si="47"/>
        <v>2.0138306748105236E-2</v>
      </c>
      <c r="I38" s="195">
        <f t="shared" si="47"/>
        <v>-3.4460860718043225E-2</v>
      </c>
      <c r="J38" s="195">
        <f t="shared" si="47"/>
        <v>0.20592498235426357</v>
      </c>
      <c r="K38" s="195">
        <f t="shared" si="47"/>
        <v>0.21658519553072625</v>
      </c>
      <c r="L38" s="195">
        <f t="shared" si="47"/>
        <v>0.26648113457444472</v>
      </c>
      <c r="M38" s="195">
        <f t="shared" si="47"/>
        <v>-3.8608767176867814E-2</v>
      </c>
      <c r="N38" s="195">
        <f t="shared" si="47"/>
        <v>2.4572511233254303E-3</v>
      </c>
      <c r="O38" s="195">
        <f t="shared" si="47"/>
        <v>0.13413721398582776</v>
      </c>
      <c r="P38" s="195">
        <f t="shared" si="47"/>
        <v>0.19507997770780394</v>
      </c>
      <c r="Q38" s="195">
        <f t="shared" ref="Q38:R38" si="48">Q37/Q19</f>
        <v>-0.19531160482212534</v>
      </c>
      <c r="R38" s="195">
        <f t="shared" si="48"/>
        <v>-0.10184277099044445</v>
      </c>
      <c r="S38" s="195">
        <f t="shared" ref="S38:T38" si="49">S37/S19</f>
        <v>-6.9271255865497025E-2</v>
      </c>
      <c r="T38" s="195">
        <f t="shared" si="49"/>
        <v>-3.7677550848559294E-3</v>
      </c>
      <c r="U38" s="195">
        <f t="shared" ref="U38:V38" si="50">U37/U19</f>
        <v>-1.2325004117550175E-2</v>
      </c>
      <c r="V38" s="195">
        <f t="shared" si="50"/>
        <v>0.11808716014237816</v>
      </c>
      <c r="W38" s="195">
        <f t="shared" ref="W38:X38" si="51">W37/W19</f>
        <v>0.17750879967925487</v>
      </c>
      <c r="X38" s="195">
        <f t="shared" si="51"/>
        <v>0.15403887451131545</v>
      </c>
      <c r="Y38" s="195">
        <f t="shared" ref="Y38:Z38" si="52">Y37/Y19</f>
        <v>0.19370228620412011</v>
      </c>
      <c r="Z38" s="195">
        <f t="shared" si="52"/>
        <v>9.1876039210196284E-2</v>
      </c>
      <c r="AA38" s="195">
        <f t="shared" ref="AA38:AF38" si="53">AA37/AA19</f>
        <v>3.6647172834394255E-4</v>
      </c>
      <c r="AB38" s="195">
        <f t="shared" si="53"/>
        <v>-1.1242401305380973</v>
      </c>
      <c r="AC38" s="195">
        <f t="shared" si="53"/>
        <v>2.1164408210488789E-2</v>
      </c>
      <c r="AD38" s="195">
        <f t="shared" si="53"/>
        <v>-4.4787437289575238E-2</v>
      </c>
      <c r="AE38" s="195">
        <f t="shared" si="53"/>
        <v>-4.311260606584778E-3</v>
      </c>
      <c r="AF38" s="195">
        <f t="shared" si="53"/>
        <v>-6.7341959843973773E-2</v>
      </c>
      <c r="AG38" s="195">
        <f t="shared" ref="AG38:AH38" si="54">AG37/AG19</f>
        <v>-4.0086991755246049E-2</v>
      </c>
      <c r="AH38" s="195">
        <f t="shared" si="54"/>
        <v>0.10145562888981362</v>
      </c>
      <c r="AI38" s="195"/>
      <c r="AJ38" s="243">
        <f>AJ37/AJ19</f>
        <v>1.6872383227913616E-2</v>
      </c>
      <c r="AL38" s="243"/>
    </row>
    <row r="39" spans="1:38" x14ac:dyDescent="0.2">
      <c r="A39" s="13"/>
      <c r="B39" s="13"/>
      <c r="C39" s="133"/>
      <c r="D39" s="133"/>
      <c r="E39" s="133"/>
      <c r="F39" s="220"/>
      <c r="G39" s="220"/>
      <c r="H39" s="220"/>
      <c r="I39" s="220"/>
      <c r="J39" s="195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95"/>
    </row>
    <row r="40" spans="1:38" x14ac:dyDescent="0.2">
      <c r="A40" s="13"/>
      <c r="B40" s="13" t="s">
        <v>221</v>
      </c>
      <c r="C40" s="133">
        <v>224969</v>
      </c>
      <c r="D40" s="133">
        <v>401757</v>
      </c>
      <c r="E40" s="133">
        <v>211347</v>
      </c>
      <c r="F40" s="133">
        <v>234841</v>
      </c>
      <c r="G40" s="133">
        <v>204564</v>
      </c>
      <c r="H40" s="133">
        <v>216253</v>
      </c>
      <c r="I40" s="133">
        <v>210949</v>
      </c>
      <c r="J40" s="133">
        <v>204165</v>
      </c>
      <c r="K40" s="133">
        <v>233758</v>
      </c>
      <c r="L40" s="133">
        <v>200675</v>
      </c>
      <c r="M40" s="133">
        <v>210900</v>
      </c>
      <c r="N40" s="133">
        <v>220082</v>
      </c>
      <c r="O40" s="133">
        <v>204932</v>
      </c>
      <c r="P40" s="133">
        <v>246583</v>
      </c>
      <c r="Q40" s="133">
        <v>211038</v>
      </c>
      <c r="R40" s="133">
        <v>209961</v>
      </c>
      <c r="S40" s="133">
        <v>235842</v>
      </c>
      <c r="T40" s="133">
        <v>219233</v>
      </c>
      <c r="U40" s="133">
        <v>212724</v>
      </c>
      <c r="V40" s="133">
        <v>215415</v>
      </c>
      <c r="W40" s="133">
        <v>219446</v>
      </c>
      <c r="X40" s="133">
        <v>210369</v>
      </c>
      <c r="Y40" s="133">
        <v>213016</v>
      </c>
      <c r="Z40" s="133">
        <v>307205</v>
      </c>
      <c r="AA40" s="133">
        <v>303057</v>
      </c>
      <c r="AB40" s="133">
        <v>302872</v>
      </c>
      <c r="AC40" s="133">
        <v>226866</v>
      </c>
      <c r="AD40" s="133">
        <v>222150</v>
      </c>
      <c r="AE40" s="133">
        <v>217751</v>
      </c>
      <c r="AF40" s="133">
        <v>228102</v>
      </c>
      <c r="AG40" s="133">
        <v>220691</v>
      </c>
      <c r="AH40" s="133">
        <v>246550</v>
      </c>
      <c r="AI40" s="133"/>
      <c r="AJ40" s="4">
        <f>SUM(W40:AH40)</f>
        <v>2918075</v>
      </c>
    </row>
    <row r="41" spans="1:38" x14ac:dyDescent="0.2">
      <c r="A41" s="13"/>
      <c r="B41" s="13" t="s">
        <v>222</v>
      </c>
      <c r="C41" s="133">
        <v>-5241</v>
      </c>
      <c r="D41" s="133">
        <v>-27173</v>
      </c>
      <c r="E41" s="133">
        <v>-5200</v>
      </c>
      <c r="F41" s="133">
        <v>-5185</v>
      </c>
      <c r="G41" s="133">
        <v>-5302</v>
      </c>
      <c r="H41" s="133">
        <v>-5220</v>
      </c>
      <c r="I41" s="133">
        <v>-5250</v>
      </c>
      <c r="J41" s="133">
        <v>-5264</v>
      </c>
      <c r="K41" s="133">
        <v>-5245</v>
      </c>
      <c r="L41" s="133">
        <v>-5253</v>
      </c>
      <c r="M41" s="133">
        <v>-5239</v>
      </c>
      <c r="N41" s="133">
        <v>-5247</v>
      </c>
      <c r="O41" s="133">
        <v>-2723</v>
      </c>
      <c r="P41" s="133">
        <v>-1539</v>
      </c>
      <c r="Q41" s="133">
        <v>-5280</v>
      </c>
      <c r="R41" s="133">
        <v>-5197</v>
      </c>
      <c r="S41" s="133">
        <v>-5250</v>
      </c>
      <c r="T41" s="133">
        <v>-5225</v>
      </c>
      <c r="U41" s="133">
        <v>-5243</v>
      </c>
      <c r="V41" s="133">
        <v>-5226</v>
      </c>
      <c r="W41" s="133">
        <v>-5339</v>
      </c>
      <c r="X41" s="133">
        <v>-5242</v>
      </c>
      <c r="Y41" s="133">
        <v>-5218</v>
      </c>
      <c r="Z41" s="133">
        <v>-5218</v>
      </c>
      <c r="AA41" s="133">
        <v>-5247</v>
      </c>
      <c r="AB41" s="133">
        <v>-20050</v>
      </c>
      <c r="AC41" s="133">
        <v>-4342</v>
      </c>
      <c r="AD41" s="133">
        <v>-4338</v>
      </c>
      <c r="AE41" s="133">
        <v>-4340</v>
      </c>
      <c r="AF41" s="133">
        <v>-4974</v>
      </c>
      <c r="AG41" s="133">
        <v>-4340</v>
      </c>
      <c r="AH41" s="133">
        <v>76892</v>
      </c>
      <c r="AI41" s="133"/>
      <c r="AJ41" s="4">
        <f>SUM(W41:AH41)</f>
        <v>8244</v>
      </c>
    </row>
    <row r="42" spans="1:38" x14ac:dyDescent="0.2">
      <c r="A42" s="13"/>
      <c r="B42" s="13" t="s">
        <v>217</v>
      </c>
      <c r="C42" s="133">
        <v>-73233</v>
      </c>
      <c r="D42" s="133">
        <v>-71697</v>
      </c>
      <c r="E42" s="133">
        <v>-72777</v>
      </c>
      <c r="F42" s="133">
        <v>-65945</v>
      </c>
      <c r="G42" s="133">
        <v>-72281</v>
      </c>
      <c r="H42" s="133">
        <v>-70023</v>
      </c>
      <c r="I42" s="133">
        <v>-72186</v>
      </c>
      <c r="J42" s="133">
        <v>-70052</v>
      </c>
      <c r="K42" s="133">
        <v>-70956</v>
      </c>
      <c r="L42" s="133">
        <v>-71260</v>
      </c>
      <c r="M42" s="133">
        <v>-68676</v>
      </c>
      <c r="N42" s="133">
        <v>-70891</v>
      </c>
      <c r="O42" s="133">
        <v>-70025</v>
      </c>
      <c r="P42" s="133">
        <v>-69750</v>
      </c>
      <c r="Q42" s="133">
        <v>-68596</v>
      </c>
      <c r="R42" s="133">
        <v>-188391</v>
      </c>
      <c r="S42" s="133">
        <v>-88621</v>
      </c>
      <c r="T42" s="133">
        <v>-37884</v>
      </c>
      <c r="U42" s="133">
        <v>-39066</v>
      </c>
      <c r="V42" s="133">
        <v>-38948</v>
      </c>
      <c r="W42" s="133">
        <v>-38904</v>
      </c>
      <c r="X42" s="133">
        <v>-38920</v>
      </c>
      <c r="Y42" s="133">
        <v>-37573</v>
      </c>
      <c r="Z42" s="133">
        <v>-38745</v>
      </c>
      <c r="AA42" s="133">
        <v>-37434</v>
      </c>
      <c r="AB42" s="133">
        <v>-38545</v>
      </c>
      <c r="AC42" s="133">
        <v>-36475</v>
      </c>
      <c r="AD42" s="133">
        <v>-33853</v>
      </c>
      <c r="AE42" s="133">
        <v>-36776</v>
      </c>
      <c r="AF42" s="133">
        <v>-35602</v>
      </c>
      <c r="AG42" s="133">
        <v>-36612</v>
      </c>
      <c r="AH42" s="133">
        <v>-35899</v>
      </c>
      <c r="AI42" s="133"/>
      <c r="AJ42" s="4">
        <f>SUM(W42:AH42)</f>
        <v>-445338</v>
      </c>
    </row>
    <row r="43" spans="1:38" x14ac:dyDescent="0.2">
      <c r="A43" s="13"/>
      <c r="B43" s="13"/>
      <c r="C43" s="133"/>
      <c r="D43" s="133"/>
      <c r="E43" s="133"/>
      <c r="F43" s="133"/>
      <c r="G43" s="133"/>
      <c r="H43" s="133"/>
      <c r="I43" s="133"/>
      <c r="J43" s="1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</row>
    <row r="44" spans="1:38" x14ac:dyDescent="0.2">
      <c r="A44" s="13" t="s">
        <v>228</v>
      </c>
      <c r="B44" s="13"/>
      <c r="C44" s="45">
        <f>C37+C40+C41+C42</f>
        <v>-306135</v>
      </c>
      <c r="D44" s="45">
        <f>D37+D40+D41+D42</f>
        <v>266790</v>
      </c>
      <c r="E44" s="45">
        <f>E37+E40+E41+E42</f>
        <v>-172454</v>
      </c>
      <c r="F44" s="45">
        <f>F37+F40+F41+F42</f>
        <v>-251106</v>
      </c>
      <c r="G44" s="45">
        <f>G37+G40+G41+G42-1</f>
        <v>112216</v>
      </c>
      <c r="H44" s="45">
        <f t="shared" ref="H44:I44" si="55">H37+H40+H41+H42</f>
        <v>212191</v>
      </c>
      <c r="I44" s="45">
        <f t="shared" si="55"/>
        <v>22214</v>
      </c>
      <c r="J44" s="45">
        <f>J37+J40+J41+J42+1</f>
        <v>1007306</v>
      </c>
      <c r="K44" s="45">
        <f>K37+K40+K41+K42+1</f>
        <v>1094211</v>
      </c>
      <c r="L44" s="45">
        <f>L37+L40+L41+L42</f>
        <v>1354503</v>
      </c>
      <c r="M44" s="45">
        <f>M37+M40+M41+M42</f>
        <v>2740</v>
      </c>
      <c r="N44" s="45">
        <f>N37+N40+N41+N42</f>
        <v>152199</v>
      </c>
      <c r="O44" s="45">
        <f t="shared" ref="O44" si="56">O37+O40+O41+O42</f>
        <v>647977</v>
      </c>
      <c r="P44" s="45">
        <f>P37+P40+P41+P42+2</f>
        <v>963590</v>
      </c>
      <c r="Q44" s="45">
        <f t="shared" ref="Q44:W44" si="57">Q37+Q40+Q41+Q42</f>
        <v>-381020</v>
      </c>
      <c r="R44" s="45">
        <f t="shared" si="57"/>
        <v>-280931</v>
      </c>
      <c r="S44" s="45">
        <f t="shared" si="57"/>
        <v>-81060</v>
      </c>
      <c r="T44" s="45">
        <f t="shared" si="57"/>
        <v>163864</v>
      </c>
      <c r="U44" s="45">
        <f t="shared" si="57"/>
        <v>126509</v>
      </c>
      <c r="V44" s="45">
        <f t="shared" si="57"/>
        <v>628534</v>
      </c>
      <c r="W44" s="45">
        <f t="shared" si="57"/>
        <v>917237</v>
      </c>
      <c r="X44" s="45">
        <f t="shared" ref="X44:Z44" si="58">X37+X40+X41+X42</f>
        <v>837607</v>
      </c>
      <c r="Y44" s="45">
        <f t="shared" si="58"/>
        <v>981677</v>
      </c>
      <c r="Z44" s="45">
        <f t="shared" si="58"/>
        <v>610415</v>
      </c>
      <c r="AA44" s="45">
        <f t="shared" ref="AA44:AH44" si="59">AA37+AA40+AA41+AA42</f>
        <v>261685</v>
      </c>
      <c r="AB44" s="45">
        <f t="shared" si="59"/>
        <v>-1567762</v>
      </c>
      <c r="AC44" s="45">
        <f t="shared" si="59"/>
        <v>261562</v>
      </c>
      <c r="AD44" s="45">
        <f t="shared" si="59"/>
        <v>36951</v>
      </c>
      <c r="AE44" s="45">
        <f t="shared" si="59"/>
        <v>160584</v>
      </c>
      <c r="AF44" s="45">
        <f t="shared" si="59"/>
        <v>-41191</v>
      </c>
      <c r="AG44" s="45">
        <f t="shared" si="59"/>
        <v>41329</v>
      </c>
      <c r="AH44" s="45">
        <f t="shared" si="59"/>
        <v>711284</v>
      </c>
      <c r="AI44" s="45"/>
      <c r="AJ44" s="229">
        <f>AJ37+AJ40+AJ41+AJ42</f>
        <v>3211378</v>
      </c>
    </row>
    <row r="45" spans="1:38" x14ac:dyDescent="0.2">
      <c r="A45" s="13"/>
      <c r="B45" s="13"/>
      <c r="C45" s="45"/>
      <c r="D45" s="45"/>
      <c r="E45" s="45"/>
      <c r="F45" s="221"/>
      <c r="G45" s="221"/>
      <c r="H45" s="221"/>
      <c r="I45" s="221"/>
      <c r="J45" s="147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147"/>
    </row>
    <row r="46" spans="1:38" x14ac:dyDescent="0.2">
      <c r="A46" s="13"/>
      <c r="B46" s="13" t="s">
        <v>277</v>
      </c>
      <c r="C46" s="45"/>
      <c r="D46" s="45"/>
      <c r="E46" s="45"/>
      <c r="F46" s="133">
        <v>18339</v>
      </c>
      <c r="G46" s="133"/>
      <c r="H46" s="133"/>
      <c r="I46" s="133"/>
      <c r="J46" s="13"/>
      <c r="K46" s="133">
        <v>0</v>
      </c>
      <c r="L46" s="133">
        <v>0</v>
      </c>
      <c r="M46" s="133">
        <v>0</v>
      </c>
      <c r="N46" s="133">
        <v>0</v>
      </c>
      <c r="O46" s="133"/>
      <c r="P46" s="133">
        <v>107192</v>
      </c>
      <c r="Q46" s="133">
        <v>0</v>
      </c>
      <c r="R46" s="133">
        <v>325000</v>
      </c>
      <c r="S46" s="133">
        <v>0</v>
      </c>
      <c r="T46" s="133">
        <v>0</v>
      </c>
      <c r="U46" s="133">
        <v>0</v>
      </c>
      <c r="V46" s="133">
        <v>0</v>
      </c>
      <c r="W46" s="133">
        <v>0</v>
      </c>
      <c r="X46" s="133">
        <v>46670</v>
      </c>
      <c r="Y46" s="133">
        <v>0</v>
      </c>
      <c r="Z46" s="133">
        <v>0</v>
      </c>
      <c r="AA46" s="133">
        <v>0</v>
      </c>
      <c r="AB46" s="133">
        <v>0</v>
      </c>
      <c r="AC46" s="133">
        <v>0</v>
      </c>
      <c r="AD46" s="133">
        <v>0</v>
      </c>
      <c r="AE46" s="133">
        <v>0</v>
      </c>
      <c r="AF46" s="133">
        <v>0</v>
      </c>
      <c r="AG46" s="133">
        <v>0</v>
      </c>
      <c r="AH46" s="133">
        <v>108196</v>
      </c>
      <c r="AI46" s="133"/>
      <c r="AJ46" s="4">
        <f>SUM(W46:AH46)</f>
        <v>154866</v>
      </c>
    </row>
    <row r="47" spans="1:38" x14ac:dyDescent="0.2">
      <c r="A47" s="13"/>
      <c r="B47" s="13"/>
      <c r="C47" s="13"/>
      <c r="D47" s="13"/>
      <c r="E47" s="13"/>
      <c r="F47" s="133"/>
      <c r="G47" s="133"/>
      <c r="H47" s="133"/>
      <c r="I47" s="133"/>
      <c r="J47" s="1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</row>
    <row r="48" spans="1:38" x14ac:dyDescent="0.2">
      <c r="A48" s="13" t="s">
        <v>278</v>
      </c>
      <c r="B48" s="13"/>
      <c r="C48" s="45">
        <f t="shared" ref="C48:D48" si="60">C44+C46</f>
        <v>-306135</v>
      </c>
      <c r="D48" s="45">
        <f t="shared" si="60"/>
        <v>266790</v>
      </c>
      <c r="E48" s="45">
        <f t="shared" ref="E48:J48" si="61">E44+E46</f>
        <v>-172454</v>
      </c>
      <c r="F48" s="45">
        <f>F44+F46+1</f>
        <v>-232766</v>
      </c>
      <c r="G48" s="45">
        <f t="shared" si="61"/>
        <v>112216</v>
      </c>
      <c r="H48" s="45">
        <f t="shared" si="61"/>
        <v>212191</v>
      </c>
      <c r="I48" s="45">
        <f t="shared" si="61"/>
        <v>22214</v>
      </c>
      <c r="J48" s="45">
        <f t="shared" si="61"/>
        <v>1007306</v>
      </c>
      <c r="K48" s="45">
        <f>K44+K46</f>
        <v>1094211</v>
      </c>
      <c r="L48" s="45">
        <f>L44+L46</f>
        <v>1354503</v>
      </c>
      <c r="M48" s="45">
        <f>M44+M46</f>
        <v>2740</v>
      </c>
      <c r="N48" s="45">
        <f>N44+N46</f>
        <v>152199</v>
      </c>
      <c r="O48" s="45">
        <f t="shared" ref="O48" si="62">O44+O46</f>
        <v>647977</v>
      </c>
      <c r="P48" s="45">
        <f t="shared" ref="P48:T48" si="63">P44+P46</f>
        <v>1070782</v>
      </c>
      <c r="Q48" s="45">
        <f t="shared" si="63"/>
        <v>-381020</v>
      </c>
      <c r="R48" s="45">
        <f t="shared" si="63"/>
        <v>44069</v>
      </c>
      <c r="S48" s="45">
        <f t="shared" si="63"/>
        <v>-81060</v>
      </c>
      <c r="T48" s="45">
        <f t="shared" si="63"/>
        <v>163864</v>
      </c>
      <c r="U48" s="45">
        <f t="shared" ref="U48:V48" si="64">U44+U46</f>
        <v>126509</v>
      </c>
      <c r="V48" s="45">
        <f t="shared" si="64"/>
        <v>628534</v>
      </c>
      <c r="W48" s="45">
        <f t="shared" ref="W48:X48" si="65">W44+W46</f>
        <v>917237</v>
      </c>
      <c r="X48" s="45">
        <f t="shared" si="65"/>
        <v>884277</v>
      </c>
      <c r="Y48" s="45">
        <f t="shared" ref="Y48:Z48" si="66">Y44+Y46</f>
        <v>981677</v>
      </c>
      <c r="Z48" s="45">
        <f t="shared" si="66"/>
        <v>610415</v>
      </c>
      <c r="AA48" s="45">
        <f t="shared" ref="AA48:AF48" si="67">AA44+AA46</f>
        <v>261685</v>
      </c>
      <c r="AB48" s="45">
        <f t="shared" si="67"/>
        <v>-1567762</v>
      </c>
      <c r="AC48" s="45">
        <f t="shared" si="67"/>
        <v>261562</v>
      </c>
      <c r="AD48" s="45">
        <f t="shared" si="67"/>
        <v>36951</v>
      </c>
      <c r="AE48" s="45">
        <f t="shared" si="67"/>
        <v>160584</v>
      </c>
      <c r="AF48" s="45">
        <f t="shared" si="67"/>
        <v>-41191</v>
      </c>
      <c r="AG48" s="45">
        <f t="shared" ref="AG48:AH48" si="68">AG44+AG46</f>
        <v>41329</v>
      </c>
      <c r="AH48" s="45">
        <f t="shared" si="68"/>
        <v>819480</v>
      </c>
      <c r="AI48" s="45"/>
      <c r="AJ48" s="229">
        <f>AJ44+AJ46</f>
        <v>3366244</v>
      </c>
    </row>
    <row r="49" spans="1:36" x14ac:dyDescent="0.2">
      <c r="A49" s="13"/>
      <c r="B49" s="13"/>
      <c r="C49" s="147">
        <f t="shared" ref="C49:P49" si="69">C48/C19</f>
        <v>-0.11635035353389471</v>
      </c>
      <c r="D49" s="147">
        <f t="shared" si="69"/>
        <v>7.343586480027614E-2</v>
      </c>
      <c r="E49" s="147">
        <f t="shared" si="69"/>
        <v>-6.1213399265030298E-2</v>
      </c>
      <c r="F49" s="147">
        <f t="shared" si="69"/>
        <v>-8.5078433085431879E-2</v>
      </c>
      <c r="G49" s="147">
        <f t="shared" si="69"/>
        <v>3.2348544205968006E-2</v>
      </c>
      <c r="H49" s="147">
        <f t="shared" si="69"/>
        <v>6.0032416616613953E-2</v>
      </c>
      <c r="I49" s="147">
        <f t="shared" si="69"/>
        <v>6.877991356531615E-3</v>
      </c>
      <c r="J49" s="147">
        <f t="shared" si="69"/>
        <v>0.23612960726017446</v>
      </c>
      <c r="K49" s="147">
        <f t="shared" si="69"/>
        <v>0.25301782344888823</v>
      </c>
      <c r="L49" s="147">
        <f t="shared" si="69"/>
        <v>0.29337354133893701</v>
      </c>
      <c r="M49" s="147">
        <f t="shared" si="69"/>
        <v>7.8802206461780935E-4</v>
      </c>
      <c r="N49" s="147">
        <f t="shared" si="69"/>
        <v>4.5304804811509045E-2</v>
      </c>
      <c r="O49" s="147">
        <f t="shared" si="69"/>
        <v>0.1685130071693387</v>
      </c>
      <c r="P49" s="147">
        <f t="shared" si="69"/>
        <v>0.2649875917994019</v>
      </c>
      <c r="Q49" s="147">
        <f t="shared" ref="Q49:R49" si="70">Q48/Q19</f>
        <v>-0.14361291528715045</v>
      </c>
      <c r="R49" s="147">
        <f t="shared" si="70"/>
        <v>1.5096026541109088E-2</v>
      </c>
      <c r="S49" s="147">
        <f t="shared" ref="S49:T49" si="71">S48/S19</f>
        <v>-2.5176446325655129E-2</v>
      </c>
      <c r="T49" s="147">
        <f t="shared" si="71"/>
        <v>5.0358843329921049E-2</v>
      </c>
      <c r="U49" s="147">
        <f t="shared" ref="U49:V49" si="72">U48/U19</f>
        <v>3.7207653937554409E-2</v>
      </c>
      <c r="V49" s="147">
        <f t="shared" si="72"/>
        <v>0.16230686914719777</v>
      </c>
      <c r="W49" s="147">
        <f t="shared" ref="W49:X49" si="73">W48/W19</f>
        <v>0.21942072585811526</v>
      </c>
      <c r="X49" s="147">
        <f t="shared" si="73"/>
        <v>0.20287910907989648</v>
      </c>
      <c r="Y49" s="147">
        <f t="shared" ref="Y49:Z49" si="74">Y48/Y19</f>
        <v>0.23433681747534296</v>
      </c>
      <c r="Z49" s="147">
        <f t="shared" si="74"/>
        <v>0.16154053591290787</v>
      </c>
      <c r="AA49" s="147">
        <f t="shared" ref="AA49:AF49" si="75">AA48/AA19</f>
        <v>7.3262149909613911E-2</v>
      </c>
      <c r="AB49" s="147">
        <f t="shared" si="75"/>
        <v>-0.97268378634933828</v>
      </c>
      <c r="AC49" s="147">
        <f t="shared" si="75"/>
        <v>7.3309296946908062E-2</v>
      </c>
      <c r="AD49" s="147">
        <f t="shared" si="75"/>
        <v>1.1257486635333415E-2</v>
      </c>
      <c r="AE49" s="147">
        <f t="shared" si="75"/>
        <v>4.3132482290686565E-2</v>
      </c>
      <c r="AF49" s="147">
        <f t="shared" si="75"/>
        <v>-1.2128012644154669E-2</v>
      </c>
      <c r="AG49" s="147">
        <f t="shared" ref="AG49:AH49" si="76">AG48/AG19</f>
        <v>1.196991028287381E-2</v>
      </c>
      <c r="AH49" s="147">
        <f t="shared" si="76"/>
        <v>0.19620678377269243</v>
      </c>
      <c r="AI49" s="147"/>
      <c r="AJ49" s="242">
        <f>AJ48/AJ19</f>
        <v>7.7761215895827671E-2</v>
      </c>
    </row>
  </sheetData>
  <mergeCells count="1">
    <mergeCell ref="A21:B21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Overview</vt:lpstr>
      <vt:lpstr>P&amp;L</vt:lpstr>
      <vt:lpstr>BS</vt:lpstr>
      <vt:lpstr>Cash Flow</vt:lpstr>
      <vt:lpstr>Divisions</vt:lpstr>
      <vt:lpstr>Days Cash</vt:lpstr>
      <vt:lpstr>Days in AR</vt:lpstr>
      <vt:lpstr>Data</vt:lpstr>
      <vt:lpstr>ytd rolling margins</vt:lpstr>
      <vt:lpstr>BS!Print_Area</vt:lpstr>
      <vt:lpstr>'Cash Flow'!Print_Area</vt:lpstr>
      <vt:lpstr>Data!Print_Area</vt:lpstr>
      <vt:lpstr>'Days Cash'!Print_Area</vt:lpstr>
      <vt:lpstr>'Days in AR'!Print_Area</vt:lpstr>
      <vt:lpstr>Divisions!Print_Area</vt:lpstr>
      <vt:lpstr>Overview!Print_Area</vt:lpstr>
      <vt:lpstr>'P&amp;L'!Print_Area</vt:lpstr>
    </vt:vector>
  </TitlesOfParts>
  <Company>EPMC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EPMC</dc:creator>
  <cp:lastModifiedBy>Julie Yaden</cp:lastModifiedBy>
  <cp:lastPrinted>2017-06-14T20:43:23Z</cp:lastPrinted>
  <dcterms:created xsi:type="dcterms:W3CDTF">1999-11-29T18:32:10Z</dcterms:created>
  <dcterms:modified xsi:type="dcterms:W3CDTF">2017-08-01T20:18:51Z</dcterms:modified>
</cp:coreProperties>
</file>